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10" yWindow="1590" windowWidth="14055" windowHeight="10095"/>
  </bookViews>
  <sheets>
    <sheet name="2024-2026" sheetId="1" r:id="rId1"/>
  </sheets>
  <definedNames>
    <definedName name="_xlnm._FilterDatabase" localSheetId="0" hidden="1">'2024-2026'!$A$10:$P$322</definedName>
    <definedName name="_xlnm.Print_Titles" localSheetId="0">'2024-2026'!$10:$10</definedName>
    <definedName name="_xlnm.Print_Area" localSheetId="0">'2024-2026'!$A$1:$M$323</definedName>
  </definedNames>
  <calcPr calcId="145621"/>
</workbook>
</file>

<file path=xl/calcChain.xml><?xml version="1.0" encoding="utf-8"?>
<calcChain xmlns="http://schemas.openxmlformats.org/spreadsheetml/2006/main">
  <c r="K201" i="1" l="1"/>
  <c r="K142" i="1"/>
  <c r="K129" i="1" l="1"/>
  <c r="K231" i="1" l="1"/>
  <c r="K254" i="1"/>
  <c r="K117" i="1" l="1"/>
  <c r="L188" i="1"/>
  <c r="L152" i="1"/>
  <c r="K152" i="1"/>
  <c r="K120" i="1"/>
  <c r="K253" i="1"/>
  <c r="K230" i="1"/>
  <c r="M228" i="1" l="1"/>
  <c r="M275" i="1"/>
  <c r="L275" i="1"/>
  <c r="K275" i="1"/>
  <c r="M273" i="1"/>
  <c r="L273" i="1"/>
  <c r="K273" i="1"/>
  <c r="H273" i="1" l="1"/>
  <c r="H275" i="1"/>
  <c r="L227" i="1"/>
  <c r="M227" i="1"/>
  <c r="K227" i="1"/>
  <c r="L107" i="1" l="1"/>
  <c r="K252" i="1" l="1"/>
  <c r="L27" i="1" l="1"/>
  <c r="L317" i="1" l="1"/>
  <c r="K317" i="1"/>
  <c r="L23" i="1"/>
  <c r="M23" i="1"/>
  <c r="K23" i="1"/>
  <c r="H23" i="1" l="1"/>
  <c r="M207" i="1"/>
  <c r="M217" i="1"/>
  <c r="L217" i="1"/>
  <c r="K281" i="1" l="1"/>
  <c r="L114" i="1" l="1"/>
  <c r="M114" i="1"/>
  <c r="M145" i="1"/>
  <c r="L145" i="1"/>
  <c r="K145" i="1"/>
  <c r="H145" i="1" s="1"/>
  <c r="L44" i="1" l="1"/>
  <c r="M44" i="1"/>
  <c r="L45" i="1"/>
  <c r="K149" i="1" l="1"/>
  <c r="K114" i="1" s="1"/>
  <c r="K196" i="1"/>
  <c r="M183" i="1"/>
  <c r="K49" i="1" l="1"/>
  <c r="K44" i="1" s="1"/>
  <c r="M259" i="1" l="1"/>
  <c r="L259" i="1"/>
  <c r="K259" i="1"/>
  <c r="M257" i="1"/>
  <c r="L257" i="1"/>
  <c r="K257" i="1"/>
  <c r="L313" i="1"/>
  <c r="M313" i="1"/>
  <c r="K313" i="1"/>
  <c r="M320" i="1"/>
  <c r="L320" i="1"/>
  <c r="K320" i="1"/>
  <c r="M221" i="1"/>
  <c r="L221" i="1"/>
  <c r="K221" i="1"/>
  <c r="M124" i="1"/>
  <c r="L124" i="1"/>
  <c r="K124" i="1"/>
  <c r="K121" i="1"/>
  <c r="M121" i="1"/>
  <c r="L121" i="1"/>
  <c r="M213" i="1"/>
  <c r="L213" i="1"/>
  <c r="K213" i="1"/>
  <c r="M197" i="1"/>
  <c r="L197" i="1"/>
  <c r="K197" i="1"/>
  <c r="M192" i="1"/>
  <c r="L192" i="1"/>
  <c r="K192" i="1"/>
  <c r="M174" i="1"/>
  <c r="L174" i="1"/>
  <c r="K174" i="1"/>
  <c r="M163" i="1"/>
  <c r="L163" i="1"/>
  <c r="K163" i="1"/>
  <c r="M158" i="1"/>
  <c r="L158" i="1"/>
  <c r="K158" i="1"/>
  <c r="L130" i="1"/>
  <c r="M130" i="1"/>
  <c r="H221" i="1" l="1"/>
  <c r="H158" i="1"/>
  <c r="H197" i="1"/>
  <c r="H320" i="1"/>
  <c r="H124" i="1"/>
  <c r="H257" i="1"/>
  <c r="H259" i="1"/>
  <c r="H121" i="1"/>
  <c r="H163" i="1"/>
  <c r="H213" i="1"/>
  <c r="H130" i="1"/>
  <c r="H174" i="1"/>
  <c r="H192" i="1"/>
  <c r="L78" i="1" l="1"/>
  <c r="M78" i="1"/>
  <c r="K78" i="1"/>
  <c r="M86" i="1"/>
  <c r="L86" i="1"/>
  <c r="K86" i="1"/>
  <c r="M84" i="1"/>
  <c r="L84" i="1"/>
  <c r="K84" i="1"/>
  <c r="H86" i="1" l="1"/>
  <c r="H84" i="1"/>
  <c r="L79" i="1" l="1"/>
  <c r="M79" i="1"/>
  <c r="K79" i="1"/>
  <c r="L66" i="1"/>
  <c r="M66" i="1"/>
  <c r="K66" i="1"/>
  <c r="L70" i="1"/>
  <c r="M70" i="1"/>
  <c r="K70" i="1"/>
  <c r="M63" i="1"/>
  <c r="M45" i="1" s="1"/>
  <c r="K60" i="1"/>
  <c r="H70" i="1" l="1"/>
  <c r="H79" i="1"/>
  <c r="K300" i="1"/>
  <c r="L251" i="1"/>
  <c r="K58" i="1"/>
  <c r="K45" i="1" s="1"/>
  <c r="L54" i="1"/>
  <c r="M54" i="1"/>
  <c r="K54" i="1"/>
  <c r="M41" i="1"/>
  <c r="L41" i="1"/>
  <c r="K41" i="1"/>
  <c r="H54" i="1" l="1"/>
  <c r="H41" i="1"/>
  <c r="L284" i="1" l="1"/>
  <c r="M284" i="1"/>
  <c r="K297" i="1"/>
  <c r="M297" i="1"/>
  <c r="L297" i="1"/>
  <c r="K304" i="1"/>
  <c r="L301" i="1"/>
  <c r="M301" i="1"/>
  <c r="K301" i="1"/>
  <c r="K288" i="1"/>
  <c r="K284" i="1" s="1"/>
  <c r="H301" i="1" l="1"/>
  <c r="H297" i="1"/>
  <c r="M218" i="1"/>
  <c r="L218" i="1"/>
  <c r="K218" i="1"/>
  <c r="H218" i="1" s="1"/>
  <c r="L268" i="1" l="1"/>
  <c r="L228" i="1" s="1"/>
  <c r="K249" i="1"/>
  <c r="K228" i="1" s="1"/>
  <c r="L46" i="1"/>
  <c r="M46" i="1"/>
  <c r="K46" i="1"/>
  <c r="M22" i="1"/>
  <c r="L22" i="1"/>
  <c r="L16" i="1" s="1"/>
  <c r="M16" i="1" l="1"/>
  <c r="H46" i="1"/>
  <c r="M35" i="1"/>
  <c r="K32" i="1" l="1"/>
  <c r="K16" i="1" s="1"/>
  <c r="L28" i="1"/>
  <c r="M28" i="1"/>
  <c r="K28" i="1"/>
  <c r="H28" i="1" l="1"/>
  <c r="K56" i="1"/>
  <c r="K181" i="1"/>
  <c r="K229" i="1"/>
  <c r="L181" i="1"/>
  <c r="M181" i="1"/>
  <c r="K199" i="1" l="1"/>
  <c r="I165" i="1" l="1"/>
  <c r="M150" i="1"/>
  <c r="L150" i="1"/>
  <c r="K150" i="1"/>
  <c r="I143" i="1"/>
  <c r="I141" i="1"/>
  <c r="I132" i="1"/>
  <c r="K118" i="1"/>
  <c r="I118" i="1"/>
  <c r="I115" i="1"/>
  <c r="L113" i="1"/>
  <c r="M113" i="1"/>
  <c r="K113" i="1"/>
  <c r="M171" i="1"/>
  <c r="L171" i="1"/>
  <c r="K171" i="1"/>
  <c r="M165" i="1"/>
  <c r="L165" i="1"/>
  <c r="K165" i="1"/>
  <c r="M143" i="1"/>
  <c r="L143" i="1"/>
  <c r="K143" i="1"/>
  <c r="M141" i="1"/>
  <c r="L141" i="1"/>
  <c r="K141" i="1"/>
  <c r="M132" i="1"/>
  <c r="L132" i="1"/>
  <c r="K132" i="1"/>
  <c r="M118" i="1"/>
  <c r="L118" i="1"/>
  <c r="M115" i="1"/>
  <c r="L115" i="1"/>
  <c r="H150" i="1" l="1"/>
  <c r="H118" i="1"/>
  <c r="K115" i="1"/>
  <c r="H115" i="1" s="1"/>
  <c r="H171" i="1"/>
  <c r="H165" i="1"/>
  <c r="H141" i="1"/>
  <c r="H143" i="1"/>
  <c r="H132" i="1"/>
  <c r="I48" i="1" l="1"/>
  <c r="I25" i="1"/>
  <c r="M318" i="1" l="1"/>
  <c r="L318" i="1"/>
  <c r="K318" i="1"/>
  <c r="H318" i="1" l="1"/>
  <c r="I56" i="1"/>
  <c r="M101" i="1" l="1"/>
  <c r="L101" i="1"/>
  <c r="M110" i="1"/>
  <c r="L110" i="1"/>
  <c r="K110" i="1"/>
  <c r="M108" i="1"/>
  <c r="L108" i="1"/>
  <c r="K108" i="1"/>
  <c r="H108" i="1" l="1"/>
  <c r="H110" i="1"/>
  <c r="I279" i="1" l="1"/>
  <c r="L277" i="1"/>
  <c r="M277" i="1"/>
  <c r="K277" i="1"/>
  <c r="I250" i="1"/>
  <c r="I246" i="1"/>
  <c r="H277" i="1" l="1"/>
  <c r="M311" i="1"/>
  <c r="M316" i="1"/>
  <c r="L316" i="1"/>
  <c r="K316" i="1"/>
  <c r="M314" i="1"/>
  <c r="L314" i="1"/>
  <c r="K314" i="1"/>
  <c r="L311" i="1"/>
  <c r="K311" i="1"/>
  <c r="H316" i="1" l="1"/>
  <c r="H314" i="1"/>
  <c r="L279" i="1"/>
  <c r="M279" i="1"/>
  <c r="K279" i="1"/>
  <c r="H279" i="1" l="1"/>
  <c r="M271" i="1"/>
  <c r="L271" i="1"/>
  <c r="K271" i="1"/>
  <c r="M269" i="1"/>
  <c r="L269" i="1"/>
  <c r="K269" i="1"/>
  <c r="M267" i="1"/>
  <c r="L267" i="1"/>
  <c r="K267" i="1"/>
  <c r="M265" i="1"/>
  <c r="L265" i="1"/>
  <c r="K265" i="1"/>
  <c r="M263" i="1"/>
  <c r="L263" i="1"/>
  <c r="K263" i="1"/>
  <c r="M261" i="1"/>
  <c r="L261" i="1"/>
  <c r="K261" i="1"/>
  <c r="K244" i="1"/>
  <c r="L244" i="1"/>
  <c r="M189" i="1"/>
  <c r="L189" i="1"/>
  <c r="K189" i="1"/>
  <c r="H271" i="1" l="1"/>
  <c r="H265" i="1"/>
  <c r="H269" i="1"/>
  <c r="H267" i="1"/>
  <c r="H263" i="1"/>
  <c r="H261" i="1"/>
  <c r="H189" i="1"/>
  <c r="M153" i="1" l="1"/>
  <c r="L153" i="1"/>
  <c r="K153" i="1"/>
  <c r="M138" i="1"/>
  <c r="L138" i="1"/>
  <c r="K138" i="1"/>
  <c r="H153" i="1" l="1"/>
  <c r="H138" i="1"/>
  <c r="L100" i="1"/>
  <c r="M100" i="1"/>
  <c r="K101" i="1"/>
  <c r="K13" i="1" s="1"/>
  <c r="K100" i="1"/>
  <c r="L102" i="1"/>
  <c r="M102" i="1"/>
  <c r="K102" i="1"/>
  <c r="M81" i="1"/>
  <c r="L81" i="1"/>
  <c r="K81" i="1"/>
  <c r="H81" i="1" l="1"/>
  <c r="H102" i="1"/>
  <c r="I51" i="1" l="1"/>
  <c r="M48" i="1"/>
  <c r="L48" i="1"/>
  <c r="K48" i="1"/>
  <c r="M13" i="1"/>
  <c r="M15" i="1"/>
  <c r="M14" i="1" s="1"/>
  <c r="L15" i="1"/>
  <c r="K15" i="1"/>
  <c r="K14" i="1" s="1"/>
  <c r="I17" i="1"/>
  <c r="L242" i="1" l="1"/>
  <c r="M242" i="1"/>
  <c r="K242" i="1"/>
  <c r="M240" i="1"/>
  <c r="L240" i="1"/>
  <c r="K240" i="1"/>
  <c r="M199" i="1"/>
  <c r="L199" i="1"/>
  <c r="L194" i="1"/>
  <c r="M194" i="1"/>
  <c r="K194" i="1"/>
  <c r="L179" i="1"/>
  <c r="M179" i="1"/>
  <c r="K179" i="1"/>
  <c r="H199" i="1" l="1"/>
  <c r="H242" i="1"/>
  <c r="H194" i="1"/>
  <c r="H240" i="1"/>
  <c r="L56" i="1" l="1"/>
  <c r="M56" i="1"/>
  <c r="H56" i="1" l="1"/>
  <c r="M309" i="1" l="1"/>
  <c r="L309" i="1"/>
  <c r="K309" i="1"/>
  <c r="M285" i="1"/>
  <c r="L285" i="1"/>
  <c r="K285" i="1"/>
  <c r="M307" i="1"/>
  <c r="L307" i="1"/>
  <c r="K307" i="1"/>
  <c r="M305" i="1"/>
  <c r="L305" i="1"/>
  <c r="K305" i="1"/>
  <c r="M303" i="1"/>
  <c r="L303" i="1"/>
  <c r="K303" i="1"/>
  <c r="M299" i="1"/>
  <c r="L299" i="1"/>
  <c r="K299" i="1"/>
  <c r="M295" i="1"/>
  <c r="L295" i="1"/>
  <c r="K295" i="1"/>
  <c r="M293" i="1"/>
  <c r="L293" i="1"/>
  <c r="K293" i="1"/>
  <c r="M291" i="1"/>
  <c r="L291" i="1"/>
  <c r="K291" i="1"/>
  <c r="M289" i="1"/>
  <c r="L289" i="1"/>
  <c r="K289" i="1"/>
  <c r="M224" i="1"/>
  <c r="L224" i="1"/>
  <c r="K224" i="1"/>
  <c r="M215" i="1"/>
  <c r="L215" i="1"/>
  <c r="K215" i="1"/>
  <c r="H305" i="1" l="1"/>
  <c r="H289" i="1"/>
  <c r="H293" i="1"/>
  <c r="H285" i="1"/>
  <c r="H291" i="1"/>
  <c r="H295" i="1"/>
  <c r="H303" i="1"/>
  <c r="H307" i="1"/>
  <c r="H309" i="1"/>
  <c r="H299" i="1"/>
  <c r="H224" i="1"/>
  <c r="H215" i="1"/>
  <c r="M61" i="1" l="1"/>
  <c r="M287" i="1"/>
  <c r="L287" i="1"/>
  <c r="K287" i="1"/>
  <c r="H287" i="1" l="1"/>
  <c r="M229" i="1" l="1"/>
  <c r="L229" i="1"/>
  <c r="H229" i="1" l="1"/>
  <c r="M51" i="1"/>
  <c r="M255" i="1" l="1"/>
  <c r="L255" i="1"/>
  <c r="K255" i="1"/>
  <c r="M252" i="1"/>
  <c r="L252" i="1"/>
  <c r="M250" i="1"/>
  <c r="L250" i="1"/>
  <c r="K250" i="1"/>
  <c r="M248" i="1"/>
  <c r="L248" i="1"/>
  <c r="K248" i="1"/>
  <c r="M238" i="1"/>
  <c r="L238" i="1"/>
  <c r="K238" i="1"/>
  <c r="M236" i="1"/>
  <c r="L236" i="1"/>
  <c r="K236" i="1"/>
  <c r="K176" i="1"/>
  <c r="M160" i="1"/>
  <c r="L160" i="1"/>
  <c r="K160" i="1"/>
  <c r="M205" i="1"/>
  <c r="L205" i="1"/>
  <c r="K205" i="1"/>
  <c r="M202" i="1"/>
  <c r="L202" i="1"/>
  <c r="K202" i="1"/>
  <c r="M187" i="1"/>
  <c r="L187" i="1"/>
  <c r="K187" i="1"/>
  <c r="H187" i="1" l="1"/>
  <c r="H179" i="1"/>
  <c r="M226" i="1"/>
  <c r="L226" i="1"/>
  <c r="H252" i="1"/>
  <c r="K226" i="1"/>
  <c r="H255" i="1"/>
  <c r="H250" i="1"/>
  <c r="H248" i="1"/>
  <c r="H236" i="1"/>
  <c r="H238" i="1"/>
  <c r="H160" i="1"/>
  <c r="H205" i="1"/>
  <c r="H202" i="1"/>
  <c r="M168" i="1"/>
  <c r="L168" i="1"/>
  <c r="K168" i="1"/>
  <c r="M94" i="1"/>
  <c r="L94" i="1"/>
  <c r="K94" i="1"/>
  <c r="I72" i="1"/>
  <c r="L61" i="1"/>
  <c r="K61" i="1"/>
  <c r="M59" i="1"/>
  <c r="L59" i="1"/>
  <c r="K59" i="1"/>
  <c r="K51" i="1"/>
  <c r="M38" i="1"/>
  <c r="L38" i="1"/>
  <c r="K38" i="1"/>
  <c r="M36" i="1"/>
  <c r="L36" i="1"/>
  <c r="K36" i="1"/>
  <c r="H61" i="1" l="1"/>
  <c r="H59" i="1"/>
  <c r="H168" i="1"/>
  <c r="H94" i="1"/>
  <c r="H38" i="1"/>
  <c r="H36" i="1"/>
  <c r="L25" i="1" l="1"/>
  <c r="M25" i="1"/>
  <c r="I20" i="1"/>
  <c r="L51" i="1" l="1"/>
  <c r="H51" i="1" s="1"/>
  <c r="L232" i="1" l="1"/>
  <c r="M232" i="1"/>
  <c r="K232" i="1"/>
  <c r="M244" i="1"/>
  <c r="H232" i="1" l="1"/>
  <c r="H244" i="1"/>
  <c r="M89" i="1" l="1"/>
  <c r="L89" i="1"/>
  <c r="K89" i="1"/>
  <c r="H89" i="1" l="1"/>
  <c r="K25" i="1"/>
  <c r="H25" i="1" s="1"/>
  <c r="K96" i="1" l="1"/>
  <c r="M96" i="1"/>
  <c r="L96" i="1"/>
  <c r="H96" i="1" l="1"/>
  <c r="K112" i="1"/>
  <c r="K20" i="1" l="1"/>
  <c r="M246" i="1" l="1"/>
  <c r="L246" i="1" l="1"/>
  <c r="K246" i="1"/>
  <c r="H246" i="1" l="1"/>
  <c r="K208" i="1"/>
  <c r="L208" i="1"/>
  <c r="M208" i="1"/>
  <c r="M156" i="1"/>
  <c r="L156" i="1"/>
  <c r="K156" i="1"/>
  <c r="L127" i="1"/>
  <c r="M127" i="1"/>
  <c r="H156" i="1" l="1"/>
  <c r="H208" i="1"/>
  <c r="L65" i="1" l="1"/>
  <c r="M65" i="1"/>
  <c r="L13" i="1"/>
  <c r="K65" i="1"/>
  <c r="H48" i="1" l="1"/>
  <c r="L33" i="1"/>
  <c r="M33" i="1"/>
  <c r="K33" i="1"/>
  <c r="M234" i="1"/>
  <c r="M211" i="1"/>
  <c r="M185" i="1"/>
  <c r="M147" i="1"/>
  <c r="M176" i="1"/>
  <c r="M135" i="1"/>
  <c r="M105" i="1"/>
  <c r="M91" i="1"/>
  <c r="M76" i="1"/>
  <c r="M72" i="1"/>
  <c r="M67" i="1"/>
  <c r="M30" i="1"/>
  <c r="M17" i="1"/>
  <c r="M20" i="1"/>
  <c r="H33" i="1" l="1"/>
  <c r="M112" i="1"/>
  <c r="M64" i="1"/>
  <c r="M282" i="1"/>
  <c r="M99" i="1"/>
  <c r="M43" i="1"/>
  <c r="M12" i="1" l="1"/>
  <c r="M11" i="1" s="1"/>
  <c r="K76" i="1" l="1"/>
  <c r="L76" i="1"/>
  <c r="K12" i="1"/>
  <c r="K11" i="1" s="1"/>
  <c r="L12" i="1"/>
  <c r="L11" i="1" s="1"/>
  <c r="K234" i="1"/>
  <c r="L234" i="1"/>
  <c r="K211" i="1"/>
  <c r="L211" i="1"/>
  <c r="K185" i="1"/>
  <c r="L185" i="1"/>
  <c r="K147" i="1"/>
  <c r="L147" i="1"/>
  <c r="L176" i="1"/>
  <c r="H176" i="1" s="1"/>
  <c r="K135" i="1"/>
  <c r="L135" i="1"/>
  <c r="K127" i="1"/>
  <c r="H127" i="1" s="1"/>
  <c r="K105" i="1"/>
  <c r="L105" i="1"/>
  <c r="K91" i="1"/>
  <c r="L91" i="1"/>
  <c r="K72" i="1"/>
  <c r="L72" i="1"/>
  <c r="K67" i="1"/>
  <c r="L67" i="1"/>
  <c r="H234" i="1" l="1"/>
  <c r="H147" i="1"/>
  <c r="H72" i="1"/>
  <c r="H67" i="1"/>
  <c r="H91" i="1"/>
  <c r="H211" i="1"/>
  <c r="H185" i="1"/>
  <c r="H105" i="1"/>
  <c r="H135" i="1"/>
  <c r="K282" i="1"/>
  <c r="L282" i="1"/>
  <c r="L64" i="1"/>
  <c r="L112" i="1"/>
  <c r="K99" i="1"/>
  <c r="K64" i="1"/>
  <c r="L43" i="1"/>
  <c r="L99" i="1"/>
  <c r="K43" i="1"/>
  <c r="K30" i="1" l="1"/>
  <c r="L30" i="1"/>
  <c r="K17" i="1"/>
  <c r="L17" i="1"/>
  <c r="L20" i="1"/>
  <c r="H20" i="1" s="1"/>
  <c r="H30" i="1" l="1"/>
  <c r="H17" i="1"/>
  <c r="L14" i="1"/>
</calcChain>
</file>

<file path=xl/sharedStrings.xml><?xml version="1.0" encoding="utf-8"?>
<sst xmlns="http://schemas.openxmlformats.org/spreadsheetml/2006/main" count="1020" uniqueCount="323">
  <si>
    <t>Наименование объекта (мероприятия)</t>
  </si>
  <si>
    <t>Постановление администрации об осуществлении капитальных вложений</t>
  </si>
  <si>
    <t>Вид работ</t>
  </si>
  <si>
    <t>План финансирования, тыс. руб.</t>
  </si>
  <si>
    <t>муниципальный заказчик (получатель субсидии)</t>
  </si>
  <si>
    <t>Всего по объектам, в т.ч. по направлениям:</t>
  </si>
  <si>
    <t>Всего</t>
  </si>
  <si>
    <t>ОБ</t>
  </si>
  <si>
    <t>ГБ</t>
  </si>
  <si>
    <t>1.</t>
  </si>
  <si>
    <t>Бюджетные инвестиции</t>
  </si>
  <si>
    <t>Строительство</t>
  </si>
  <si>
    <t>Субсидия</t>
  </si>
  <si>
    <t>6.*</t>
  </si>
  <si>
    <t>2022-2024</t>
  </si>
  <si>
    <t>Реконструкция</t>
  </si>
  <si>
    <t>МКУ «ГДСР»</t>
  </si>
  <si>
    <t>2021-2025</t>
  </si>
  <si>
    <t>2021-2024</t>
  </si>
  <si>
    <t>Разработка проектной документации</t>
  </si>
  <si>
    <t>МП «Калининград-теплосеть»</t>
  </si>
  <si>
    <t>57.</t>
  </si>
  <si>
    <t>58.</t>
  </si>
  <si>
    <t>№ п/п</t>
  </si>
  <si>
    <t>Главный распорядитель бюджетных средств</t>
  </si>
  <si>
    <t xml:space="preserve">Форма финансового обеспечения </t>
  </si>
  <si>
    <t>Годы реализации</t>
  </si>
  <si>
    <t>КГХиС</t>
  </si>
  <si>
    <t>КпСП</t>
  </si>
  <si>
    <t>КРДТИ</t>
  </si>
  <si>
    <t>Общий объем финансирования, тыс. руб.</t>
  </si>
  <si>
    <t>2024 г.</t>
  </si>
  <si>
    <t>2.*</t>
  </si>
  <si>
    <t>3.*</t>
  </si>
  <si>
    <t>4.*</t>
  </si>
  <si>
    <t>5.*</t>
  </si>
  <si>
    <t>8.</t>
  </si>
  <si>
    <t>9.</t>
  </si>
  <si>
    <t>10.</t>
  </si>
  <si>
    <t>Строительство дошкольного учреждения по проезду Тихорецкому в г. Калининграде</t>
  </si>
  <si>
    <t>2023-2024</t>
  </si>
  <si>
    <t>Строительство дошкольного учреждения по ул. Флагманской в г. Калининграде</t>
  </si>
  <si>
    <t xml:space="preserve">Строительство дошкольного учреждения по ул. Благовещенской в г. Калининграде </t>
  </si>
  <si>
    <t>Строительство дошкольного учреждения по ул. Владимирской в г. Калининграде</t>
  </si>
  <si>
    <t>Строительство дошкольного учреждения по ул. Баженова в г. Калининграде</t>
  </si>
  <si>
    <t>Строительство нового корпуса общеобразовательной школы № 11 по ул. Мира в г. Калининграде</t>
  </si>
  <si>
    <t>Строительство нового корпуса общеобразовательной школы № 46 по 
ул. Летней в г. Калининграде</t>
  </si>
  <si>
    <t>Строительство газовой котельной на цели отопления и горячего водоснабжения объектов МАУ ЦОПМИ «Огонек» по ул. Балтийская, 29 в г. Светлогорске</t>
  </si>
  <si>
    <t>Строительство нового корпуса детского оздоровительного лагеря на территории загородного центра им. Гайдара в г. Светлогорске</t>
  </si>
  <si>
    <t>Реконструкция объекта «Аквариум» (литер Г) под «Террариум» по адресу пр. Мира, 26</t>
  </si>
  <si>
    <t>Реконструкция Советского проспекта от
ул. Марш. Борзова до ул. Габайдулина в 
г. Калининграде</t>
  </si>
  <si>
    <t>Строительство ул. Горчакова (от ул. Ген. Челнокова до ул. Согласия) в г. Калининграде</t>
  </si>
  <si>
    <t>Строительство ул. Героя России Мариенко в г. Калининграде</t>
  </si>
  <si>
    <t>Строительство ул. Велосипедная дорога в г. Калининграде</t>
  </si>
  <si>
    <t>Строительство ул. Благовещенской в г. Калининграде</t>
  </si>
  <si>
    <t xml:space="preserve">«Строительство улицы Понартской с транспортными развязками в 
г. Калининграде (от ул. Аллея Смелых до 
ул. У. Громовой)» (Этап III) </t>
  </si>
  <si>
    <t>Реконструкция участка проспекта Победы от улицы Кутузова до улицы Радищева в 
г. Калининграде</t>
  </si>
  <si>
    <t>Строительство газовой котельной по ул. Берестяная в г. Калининграде</t>
  </si>
  <si>
    <t>2020-2024</t>
  </si>
  <si>
    <t>Строительство Центра прогресса бокса по ул. Железнодорожной в г. Калининграде</t>
  </si>
  <si>
    <t xml:space="preserve">Разработка проектной и рабочей документации </t>
  </si>
  <si>
    <t>Строительство ул. Юбилейная в г. Калининграде</t>
  </si>
  <si>
    <t>№ 403 от 02.06.2022</t>
  </si>
  <si>
    <t>2025 г.</t>
  </si>
  <si>
    <t>2022-2025</t>
  </si>
  <si>
    <t>МБУ «УКС»</t>
  </si>
  <si>
    <t>14.*</t>
  </si>
  <si>
    <t>Строительство улицы Генерала Лучинского в 
г. Калининграде. 2 этап строительства (от 
ул. Героя России Мариенко до ул. Закатной)</t>
  </si>
  <si>
    <t>№ 940 от 17.10.2022</t>
  </si>
  <si>
    <t>Строительство ул. Ген.Толстикова в 
г. Калининграде</t>
  </si>
  <si>
    <t>Техническое перевооружение с переводом на природный газ котельной по 
ул. А. Невского, 188 в г. Калининграде</t>
  </si>
  <si>
    <t>Строительство тепловой сети с целью переключения потребителей котельной по адресу ул. Летняя, 50а в г. Калининграде на централизованное теплоснабжение</t>
  </si>
  <si>
    <t>2024-2025</t>
  </si>
  <si>
    <t>Реконструкция ул. Литовский вал в 
г. Калининграде</t>
  </si>
  <si>
    <t>53.</t>
  </si>
  <si>
    <t>54.</t>
  </si>
  <si>
    <t>55.</t>
  </si>
  <si>
    <t>56.</t>
  </si>
  <si>
    <t>59.</t>
  </si>
  <si>
    <t>60.</t>
  </si>
  <si>
    <t>*Реализация объектов возможна при условии выделения средств вышестоящих бюджетов бюджетной системы Российской Федерации.</t>
  </si>
  <si>
    <t>ДОШКОЛЬНОЕ  ОБРАЗОВАНИЕ</t>
  </si>
  <si>
    <t>ОБЩЕЕ ОБРАЗОВАНИЕ</t>
  </si>
  <si>
    <t>СПОРТ ВЫСШИХ ДОСТИЖЕНИЙ</t>
  </si>
  <si>
    <t>КУЛЬТУРА</t>
  </si>
  <si>
    <t>ДОРОЖНОЕ ХОЗЯЙСТВО (ДОРОЖНЫЕ ФОНДЫ)</t>
  </si>
  <si>
    <t>КОММУНАЛЬНОЕ ХОЗЯЙСТВО</t>
  </si>
  <si>
    <t>БЛАГОУСТРОЙСТВО</t>
  </si>
  <si>
    <t>МАУК 
«Калининград-ский зоопарк»</t>
  </si>
  <si>
    <t>Строительство тепловой сети с целью переключения потребителей котельной 
АО «Молоко» в г. Калининграде на централизованное теплоснабжение</t>
  </si>
  <si>
    <t>Реконструкция вольеров для лосей (литеры 
Г-31, Г-32 и Г-33) под вольер для содержания животных МАУК «Калининградский зоопарк»</t>
  </si>
  <si>
    <t>Реконструкция тепловой сети с целью переключения абонентов котельной                                ООО «ТПК «Балтптицепром» на газовую котельную по ул. Берестяная в г. Калининграде</t>
  </si>
  <si>
    <t>42.</t>
  </si>
  <si>
    <t>61.</t>
  </si>
  <si>
    <t>62.</t>
  </si>
  <si>
    <t>63.</t>
  </si>
  <si>
    <t>64.</t>
  </si>
  <si>
    <t>66.</t>
  </si>
  <si>
    <t>Строительство общеобразовательной школы по ул. Благовещенской в г. Калининграде</t>
  </si>
  <si>
    <t>Реконструкция участка сети дождевой канализации диаметром 900 мм с устройством очистных сооружений по ул. Тельмана в г. Калининграде</t>
  </si>
  <si>
    <t>Строительство дошкольного учреждения по 
ул. Арсенальной в г. Калининграде</t>
  </si>
  <si>
    <t>2023-2025</t>
  </si>
  <si>
    <t>49.</t>
  </si>
  <si>
    <t>44.</t>
  </si>
  <si>
    <t>Техническое перевооружение</t>
  </si>
  <si>
    <t>Реконструкция участка сети дождевой канализации диаметром 550 мм с устройством очистных сооружений по ул. Тельмана в г. Калининграде</t>
  </si>
  <si>
    <t>Реконструкция участка сети дождевой канализации диаметром 400 мм с устройством очистных сооружений по ул. Льва Толстого в г. Калининграде</t>
  </si>
  <si>
    <t>Реконструкция участка сети дождевой канализации диаметром 600 мм с устройством очистных сооружений по ул. Льва Толстого в г. Калининграде</t>
  </si>
  <si>
    <t>Реконструкция участка сети дождевой канализации диаметром 1600 мм с устройством очистных сооружений в районе ботанического сада в г. Калининграде</t>
  </si>
  <si>
    <t>Реконструкция участка сети дождевой канализации с устройством очистных сооружений по ул. Тургенева, ул. Герцена в г. Калининграде</t>
  </si>
  <si>
    <t>Реконструкция участка сети дождевой канализации диаметром 750 мм с устройством очистных сооружений по ул. Герцена в г. Калининграде</t>
  </si>
  <si>
    <t>Реконструкция участка сети дождевой канализации диаметром 450 мм с устройством очистных сооружений по ул. Колхозной в г. Калининграде</t>
  </si>
  <si>
    <t>Реконструкция участка сети дождевой канализации диаметром 700 мм с устройством очистных сооружений по ул. Колхозной в г. Калининграде</t>
  </si>
  <si>
    <t>Реконструкция участка сети дождевой канализации с устройством очистных сооружений в районе Московского пр-та в 
г. Калининграде</t>
  </si>
  <si>
    <t>65.</t>
  </si>
  <si>
    <t>Строительство общеобразовательной школы по 
ул. Героя России Мариенко в г. Калининграде</t>
  </si>
  <si>
    <t>КМИиЗР</t>
  </si>
  <si>
    <t xml:space="preserve">Изъятие объектов недвижимого имущества </t>
  </si>
  <si>
    <t>45.</t>
  </si>
  <si>
    <t>Реконструкция ул. Интернациональной в 
г. Калининграде (от ул. Аллея Смелых до 
ул. Ген. Толстикова)</t>
  </si>
  <si>
    <t>50.</t>
  </si>
  <si>
    <t>Техническое перевооружение с переводом на природный газ котельной, расположенной по адресу: г. Калининград, ул. Подп. Емельянова, 156б</t>
  </si>
  <si>
    <t>2023-2026</t>
  </si>
  <si>
    <t>Адресная инвестиционная программа городского округа «Город Калининград» на 2024 г. и плановый период 2025-2026 гг.</t>
  </si>
  <si>
    <t>2026 г.</t>
  </si>
  <si>
    <t>2021-2026</t>
  </si>
  <si>
    <t>2022-2026</t>
  </si>
  <si>
    <t>7.</t>
  </si>
  <si>
    <t>13.*</t>
  </si>
  <si>
    <t>2020-2026</t>
  </si>
  <si>
    <t>ДРУГИЕ ВОПРОСЫ В ОБЛАСТИ ОБРАЗОВАНИЯ</t>
  </si>
  <si>
    <t>15.*</t>
  </si>
  <si>
    <t>Строительство физкультурно-оздоровительного комплекса по ул. Докука в г. Калининграде</t>
  </si>
  <si>
    <t>2025-2026</t>
  </si>
  <si>
    <t>18.</t>
  </si>
  <si>
    <t>22.</t>
  </si>
  <si>
    <t xml:space="preserve">Строительство проезда от ул. Р. Зорге до 
ул. Краснопрудная в г. Калининграде </t>
  </si>
  <si>
    <t>2024-2026</t>
  </si>
  <si>
    <t>35.</t>
  </si>
  <si>
    <t>38.</t>
  </si>
  <si>
    <t>2019-2025</t>
  </si>
  <si>
    <t>Строительство модульной котельной по 
ул. Барклая де Толли, 17 в г. Калининграде</t>
  </si>
  <si>
    <t>51.</t>
  </si>
  <si>
    <t>52.</t>
  </si>
  <si>
    <t>Строительство здания склада по 
ул. Ю. Гагарина, 103-103А в г. Калининграде</t>
  </si>
  <si>
    <t>Строительство физкультурно-оздоровительного комплекса по ул. Барклая де Толли в 
г. Калининграде</t>
  </si>
  <si>
    <t>ДРУГИЕ ОБЩЕГОСУДАРСТВЕННЫЕ ВОПРОСЫ</t>
  </si>
  <si>
    <t>Строительство «Детской школы искусств» по 
ул. Свердлова в г. Калининграде</t>
  </si>
  <si>
    <t>Строительство модульной котельной для обеспечения теплоснабжением многоквартирного жилого дома по ул. Ю. Гагарина, 41-45 и 
МАОУ СОШ № 2 по ул. Ю. Гагарина, 55 в 
г. Калининграде</t>
  </si>
  <si>
    <t>Строительство сетей и сооружений водоотведения в мкр. Менделеево в г. Калининграде (1 очередь)</t>
  </si>
  <si>
    <t>40.</t>
  </si>
  <si>
    <t>Строительство газовой котельной по 
ул. Киевская в г. Калининграде и участков тепловой сети от котельной до границ вновь образованного земельного участка</t>
  </si>
  <si>
    <t>Комитет муниципального имущества и земельных ресурсов</t>
  </si>
  <si>
    <t>Приобретение недвижимого имущества</t>
  </si>
  <si>
    <t>67.</t>
  </si>
  <si>
    <t>Реконструкция нежилого здания (котельная) по улице Подполковника Емельянова, 80А в 
г. Калининграде в целях его приспособления под административное здание</t>
  </si>
  <si>
    <t>Профинансиро-вано на 01.01.2024 , 
тыс. руб.</t>
  </si>
  <si>
    <t>Приложение 
к постановлению администрации 
городского округа 
«Город Калининград» 
от 27 декабря 2023 г. № 1097</t>
  </si>
  <si>
    <t xml:space="preserve">Разработка проектной документации </t>
  </si>
  <si>
    <t>Реконструкция ул. Карташева в г. Калининграде</t>
  </si>
  <si>
    <t>Строительство улицы Тихоокеанской в городе Калининграде Калининградской области, включая вынос (переустройство) двухцепного участка               ВЛ 15-99, ВЛ 15-101</t>
  </si>
  <si>
    <t>Реконструкция ул. Рассветной в г. Калининграде (1 этап)</t>
  </si>
  <si>
    <t>Строительство участка бульвара Солнечного и внутриквартального проезда от набережной Парадной до бульвара Солнечного с устройством парковок в г. Калининграде</t>
  </si>
  <si>
    <t xml:space="preserve">Строительство улично-дорожной сети в Восточном жилом районе г. Калининграда </t>
  </si>
  <si>
    <t>Строительство улицы Генерала Лучинского в г. Калининграде. 1 этап строительства (от ул. Артиллерийской до ул. Героя России Мариенко)</t>
  </si>
  <si>
    <t>39.</t>
  </si>
  <si>
    <t>Строительство ул. Закатной и участка 
ул. Арсенальной от ул. Закатной до 
ул. Краснокаменной в г. Калининграде</t>
  </si>
  <si>
    <t>41.</t>
  </si>
  <si>
    <t>68.</t>
  </si>
  <si>
    <t>69.</t>
  </si>
  <si>
    <t>70.</t>
  </si>
  <si>
    <t>71.</t>
  </si>
  <si>
    <t>72.</t>
  </si>
  <si>
    <t>73.</t>
  </si>
  <si>
    <t>74.</t>
  </si>
  <si>
    <t>Строительство снегосплавного пункта в 
г. Калининграде</t>
  </si>
  <si>
    <t>Корректировка проектной документации</t>
  </si>
  <si>
    <t>Реконструкция перекрестка ул. Ген. Челнокова – ул. Украинская в г. Калининграде</t>
  </si>
  <si>
    <t>48.</t>
  </si>
  <si>
    <t>Строительство бул. Снегова и участка 
ул. Стрелецкой (2 этап) в г. Калининграде 
(от ул. Благовещенская до ул. М. Гвардии)</t>
  </si>
  <si>
    <t>16.*</t>
  </si>
  <si>
    <t>19.</t>
  </si>
  <si>
    <t>29.</t>
  </si>
  <si>
    <t>43.</t>
  </si>
  <si>
    <t>46.</t>
  </si>
  <si>
    <t>75.</t>
  </si>
  <si>
    <t>76.</t>
  </si>
  <si>
    <t>Нежилое помещение по адресу ул. Каблукова, 
д. 11А, офис 11 в г. Калининграде</t>
  </si>
  <si>
    <t>Строительство физкультурно-оздоровительного комплекса по ул. Железнодорожной в г. Калининграде</t>
  </si>
  <si>
    <t>30.</t>
  </si>
  <si>
    <t>47.</t>
  </si>
  <si>
    <t>24.*</t>
  </si>
  <si>
    <t>Строительство улицы Тихоокеанской от 
ул. Алданская до ул. Спасателей
в городе Калининграде, включая вынос (переустройство) двухцепного участка ВЛ 15-99, ВЛ 15-101</t>
  </si>
  <si>
    <t>Реконструкция ул. Челюскинская от 
ул. Тихоокеанская до дома №20/22 по 
ул. Челюскинская в г. Калининграде</t>
  </si>
  <si>
    <t>Реконструкция перекрестка ул. Майская - 
ул. Партизана Железняка в г. Калининграде</t>
  </si>
  <si>
    <t>25.*</t>
  </si>
  <si>
    <t>77.</t>
  </si>
  <si>
    <t>78.</t>
  </si>
  <si>
    <t>79.</t>
  </si>
  <si>
    <t>80.</t>
  </si>
  <si>
    <t>81.</t>
  </si>
  <si>
    <t>Нежилое помещение по адресу 
ул. Фрунзе, д. 71, пом. I из лит. А в 
г. Калининграде</t>
  </si>
  <si>
    <t>Строительство тепловой сети с целью переключения потребителей котельной по адресу ул. П. Морозова, 146-156 в 
г. Калининграде на централизованное теплоснабжение</t>
  </si>
  <si>
    <t>Строительство тепловой сети с целью переключения потребителей МКД по 
ул. Коммунистической, 46 а-г на централизованное теплоснабжение</t>
  </si>
  <si>
    <t>11.*</t>
  </si>
  <si>
    <t>17.</t>
  </si>
  <si>
    <t>20.*</t>
  </si>
  <si>
    <t>21.</t>
  </si>
  <si>
    <t>23.*</t>
  </si>
  <si>
    <t>26.</t>
  </si>
  <si>
    <t>27.*</t>
  </si>
  <si>
    <t>28.</t>
  </si>
  <si>
    <t>32.*</t>
  </si>
  <si>
    <t>33.</t>
  </si>
  <si>
    <t>36.*</t>
  </si>
  <si>
    <t>37.</t>
  </si>
  <si>
    <t>Строительство эстакады с устройством инженерных сетей по ул. А. Суворова в
г. Калининграде</t>
  </si>
  <si>
    <t xml:space="preserve">Корректировка проектной документации </t>
  </si>
  <si>
    <t>Администрация</t>
  </si>
  <si>
    <t>МБУ «САТО»</t>
  </si>
  <si>
    <t>КПО</t>
  </si>
  <si>
    <t xml:space="preserve">МАУ ДСЦО И ОД И П  «ЮНОСТЬ» </t>
  </si>
  <si>
    <t>сверить раздел</t>
  </si>
  <si>
    <t>2017-2024</t>
  </si>
  <si>
    <t>Реконструкция моста Эстакадного</t>
  </si>
  <si>
    <t>12.</t>
  </si>
  <si>
    <t>31.*</t>
  </si>
  <si>
    <t>34.*</t>
  </si>
  <si>
    <t>от 20.04.2021 № 291 
(в редакции от  14.07.2022 № 569, от 17.11.2022 № 1072)</t>
  </si>
  <si>
    <t>источни-ки финанси-рования</t>
  </si>
  <si>
    <t>плановый период</t>
  </si>
  <si>
    <t xml:space="preserve"> от 23.07.2021 № 597 
(в редакции от 23.08.2021 № 684, от 17.11.2022 № 1072)</t>
  </si>
  <si>
    <t xml:space="preserve">МБУ «УКС» </t>
  </si>
  <si>
    <t xml:space="preserve"> от 08.04.2020 № 293
(в редакции от 01.02.2024 № 57)</t>
  </si>
  <si>
    <t xml:space="preserve"> от 23.07.2021 № 609
(в редакции от 23.08.2021 № 684, от 17.11.2022 № 1072)</t>
  </si>
  <si>
    <t xml:space="preserve"> от 23.07.2021 № 608
(в редакции от 23.08.2021 № 684, от 17.11.2022 № 1072)</t>
  </si>
  <si>
    <t xml:space="preserve"> от 13.01.2023 № 13</t>
  </si>
  <si>
    <t xml:space="preserve"> от 13.10.2020 № 915
(в редакции от 13.03.2024 № 181)</t>
  </si>
  <si>
    <t xml:space="preserve"> от 01.06.2021 № 423
(в редакции от 13.03.2023 № 130)</t>
  </si>
  <si>
    <t xml:space="preserve"> от 26.12.2018 № 1256
(в редакции от 26.09.2023 № 726)</t>
  </si>
  <si>
    <t xml:space="preserve"> от 10.08.2023 № 598</t>
  </si>
  <si>
    <t xml:space="preserve"> от 14.11.2018 № 1101
 (в редакции от 25.03.2020 № 247, от 02.06.2023 № 398)</t>
  </si>
  <si>
    <t xml:space="preserve"> от 25.06.2020 № 490
(в редакции от 18.05.2023 № 348, от 09.08.2024 № 716)</t>
  </si>
  <si>
    <t xml:space="preserve"> от 11.09.2020 № 779
 (в редакции от 25.11.2022 № 1139)</t>
  </si>
  <si>
    <t xml:space="preserve"> от 29.03.2021 № 187
(в редакции от 03.06.2024 № 424)</t>
  </si>
  <si>
    <t xml:space="preserve"> от 14.02.2024 № 112</t>
  </si>
  <si>
    <t xml:space="preserve">от 25.10.2023 № 801 </t>
  </si>
  <si>
    <t xml:space="preserve"> от 10.12.2019 № 1133
 (в редакции от 25.10.2022 № 1000)</t>
  </si>
  <si>
    <t xml:space="preserve"> от 09.08.2022 № 681</t>
  </si>
  <si>
    <t xml:space="preserve"> от 13.02.2024 № 99</t>
  </si>
  <si>
    <t xml:space="preserve"> от 31.07.2017  № 1173    (в редакции от 24.10.2024 № 936)</t>
  </si>
  <si>
    <t xml:space="preserve"> от 08.06.2021 № 447</t>
  </si>
  <si>
    <t xml:space="preserve"> от 05.06.2024 № 441</t>
  </si>
  <si>
    <t xml:space="preserve">от 05.06.2024 № 436 </t>
  </si>
  <si>
    <t>от 18.04.2017 № 569 
 (в редакции от 22.11.2023 № 872)</t>
  </si>
  <si>
    <t xml:space="preserve"> от 18.06.2021 № 483</t>
  </si>
  <si>
    <t xml:space="preserve"> от 22.01.2021 № 30
 (в редакции от 28.08.2023 № 648)</t>
  </si>
  <si>
    <t xml:space="preserve"> от 01.11.2023 № 819</t>
  </si>
  <si>
    <t xml:space="preserve"> от 04.06.2021 № 442</t>
  </si>
  <si>
    <t xml:space="preserve"> от 26.11.2019 № 1087
(в редакции от 30.08.2022 № 776)</t>
  </si>
  <si>
    <t xml:space="preserve"> от 04.06.2021 № 443
(в редакции от 13.11.2024 № 992)</t>
  </si>
  <si>
    <t xml:space="preserve"> от 08.11.2023 № 843    (в редакции от 06.05.2024 № 326)</t>
  </si>
  <si>
    <t xml:space="preserve">от 31.05.2022 № 389 </t>
  </si>
  <si>
    <t xml:space="preserve"> от 24.08.2023 № 640</t>
  </si>
  <si>
    <t xml:space="preserve"> от 13.12.2019 № 1155
 (в редакции от 18.11.2022 № 1081)</t>
  </si>
  <si>
    <t>от 25.06.2020 № 482 
 (в редакции от 09.02.2021 № 78)</t>
  </si>
  <si>
    <t xml:space="preserve"> от 25.06.2020 № 483
(в редакции от 28.08.2023 № 649)</t>
  </si>
  <si>
    <t xml:space="preserve"> от 11.12.2020 № 1134
 (в редакции от 16.07.2021 № 574)</t>
  </si>
  <si>
    <t xml:space="preserve"> от 30.11.2015 № 1996
 (в редакции от 25.09.2024 № 842)</t>
  </si>
  <si>
    <t xml:space="preserve"> от 06.11.2020 № 1006
 (в редакции от 12.09.2024 № 793)</t>
  </si>
  <si>
    <t xml:space="preserve"> от 07.06.2018 № 574 
(в редакции от 22.10.2024 № 927)</t>
  </si>
  <si>
    <t xml:space="preserve"> от 07.06.2018 № 574
(в редакции от 22.10.2024 № 927)</t>
  </si>
  <si>
    <t xml:space="preserve"> от 03.10.2023 № 749</t>
  </si>
  <si>
    <t xml:space="preserve"> от 15.07.2022 № 579</t>
  </si>
  <si>
    <t xml:space="preserve"> от 07.06.2023 № 413
(в редакции от 22.10.2024 № 919)</t>
  </si>
  <si>
    <t xml:space="preserve"> от 04.06.2021 № 440</t>
  </si>
  <si>
    <t xml:space="preserve"> от 31.05.2024 № 420</t>
  </si>
  <si>
    <t xml:space="preserve"> от 06.03.2024 № 169</t>
  </si>
  <si>
    <t>МБУ «Чистота»</t>
  </si>
  <si>
    <t xml:space="preserve"> от 13.03.2023 № 133</t>
  </si>
  <si>
    <t xml:space="preserve"> от 30.05.2018 № 531
 (в редакции от 04.12.2024 № 1053)</t>
  </si>
  <si>
    <t xml:space="preserve"> от 03.11.2022 № 1018</t>
  </si>
  <si>
    <t xml:space="preserve"> от 03.10.2023 № 750</t>
  </si>
  <si>
    <t xml:space="preserve"> от 07.10.2022 № 911</t>
  </si>
  <si>
    <t xml:space="preserve"> от 27.10.2022 № 1004</t>
  </si>
  <si>
    <t xml:space="preserve"> от 30.11.2022 № 1198</t>
  </si>
  <si>
    <t xml:space="preserve"> от 28.05.2024 № 384</t>
  </si>
  <si>
    <t xml:space="preserve"> от 30.05.2024 № 399 
(в редакции от 11.12.2024 № 1101)</t>
  </si>
  <si>
    <t xml:space="preserve"> от 03.10.2023 № 747</t>
  </si>
  <si>
    <t xml:space="preserve">от 03.10.2023 № 748 </t>
  </si>
  <si>
    <t xml:space="preserve">от 12.12.2023 № 940 </t>
  </si>
  <si>
    <t xml:space="preserve"> от 13.12.2023 № 944</t>
  </si>
  <si>
    <t xml:space="preserve"> от 04.10.2024 № 873</t>
  </si>
  <si>
    <t xml:space="preserve"> от 02.10.2019 № 910 
(в редакции от 19.04.2024 № 283)</t>
  </si>
  <si>
    <t xml:space="preserve"> от 03.06.2021 № 429
 (в редакции от 08.12.2023 № 918)</t>
  </si>
  <si>
    <t xml:space="preserve"> от 03.06.2022 № 423
(в редакции от  24.03.2023 № 177)</t>
  </si>
  <si>
    <t xml:space="preserve"> от 26.05.2022 № 371
(в редакции от  17.11.2022 № 1072)</t>
  </si>
  <si>
    <t>от 26.05.2022 № 372 
(в редакции от  17.11.2022 № 1072)</t>
  </si>
  <si>
    <t xml:space="preserve"> от 26.05.2022 № 373
(в редакции от  17.11.2022 № 1072)</t>
  </si>
  <si>
    <t xml:space="preserve"> от 02.06.2022 № 405
(в редакции от  17.11.2022 № 1072)</t>
  </si>
  <si>
    <t xml:space="preserve"> от 11.03.2022 № 134
(в редакции от  17.11.2022 № 1072)</t>
  </si>
  <si>
    <t xml:space="preserve"> от 26.05.2022 № 375
(в редакции от  17.11.2022 № 1072)</t>
  </si>
  <si>
    <t xml:space="preserve"> от 26.05.2022 № 370
(в редакции от  17.11.2022 № 1072)</t>
  </si>
  <si>
    <t xml:space="preserve"> от 26.05.2022 № 374
(в редакции от  17.11.2022 № 1072)</t>
  </si>
  <si>
    <t xml:space="preserve"> от 24.05.2023 № 376</t>
  </si>
  <si>
    <t xml:space="preserve"> от 21.11.2023 № 866 
(в редакции от 11.07.2024 № 614)</t>
  </si>
  <si>
    <t xml:space="preserve"> от 02.02.2024 № 59</t>
  </si>
  <si>
    <t xml:space="preserve">от 13.05.2024 № 334 </t>
  </si>
  <si>
    <t xml:space="preserve"> от 05.06.2024 № 442</t>
  </si>
  <si>
    <t>Строительство газовой котельной и реконструкция системы теплоснабжения МАДОУ детский                                                                          сад № 5, расположенный по                                             адресу: ул. Маршала Новикова, 25-27</t>
  </si>
  <si>
    <t>МАУ ДО СШ            № 12 ПО БОКСУ</t>
  </si>
  <si>
    <t>«Реконструкция разводного моста через реку Преголь на участке Калининград - Советск Калининградской железной дороги» Этап 2. Автодорожный мост и подходы к нему»</t>
  </si>
  <si>
    <t>Реконструкция ул. Аллея смелых в 
г. Калининграде, Калининградская область 
(2 этап)</t>
  </si>
  <si>
    <t>Реконструкция ул. Аллея смелых в 
г. Калининграде, Калининградская область 
(3 этап)</t>
  </si>
  <si>
    <t>Реконструкция ул. Аллея смелых в 
г. Калининграде, Калининградская область 
(4 этап)</t>
  </si>
  <si>
    <t xml:space="preserve">Строительство газовой котельной «Цепрусс» с переключением на нее многоквартирных жилых домов </t>
  </si>
  <si>
    <t xml:space="preserve"> от 19.10.2022 № 971
(в редакции от 05.10.2023 №758, от 30.11.2023 № 897)</t>
  </si>
  <si>
    <t>Строительство газовой котельной «Чкаловск» по ул. Докука в г. Калининграде с переключением на нее потребителей</t>
  </si>
  <si>
    <t>Строительство газовой котельной «Прибрежная» по ул. Заводская в г. Калининграде с переключением на нее потребителей</t>
  </si>
  <si>
    <t>Техническое перевооружение с переводом на природный газ котельной по проспекту                   Победы, 199 в г. Калининграде</t>
  </si>
  <si>
    <t>Строительство сетей и сооружений дождевой канализации на территории в границах ул. Украинская - ул. Согласия - ул. Рассветная -ул. Горького в г. Калининграде (2 этап)</t>
  </si>
  <si>
    <t xml:space="preserve"> от 10.12.2019 № 1131 
(в редакции от 05.09.2022 № 791, от 27.01.2023 № 43)</t>
  </si>
  <si>
    <t>Приложение
к постановлению администрации 
городского округа 
«Город Калининград»
от «28» 12 2024  г. № 1153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</si>
</sst>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AFFC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A8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/>
    <xf numFmtId="0" fontId="0" fillId="2" borderId="0" xfId="0" applyFill="1"/>
    <xf numFmtId="4" fontId="1" fillId="2" borderId="1" xfId="0" applyNumberFormat="1" applyFont="1" applyFill="1" applyBorder="1" applyAlignment="1">
      <alignment horizontal="right" vertical="center" wrapText="1"/>
    </xf>
    <xf numFmtId="4" fontId="2" fillId="0" borderId="0" xfId="0" applyNumberFormat="1" applyFont="1"/>
    <xf numFmtId="0" fontId="0" fillId="0" borderId="0" xfId="0" applyFill="1"/>
    <xf numFmtId="0" fontId="4" fillId="0" borderId="0" xfId="0" applyFont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0" xfId="0" applyFont="1" applyFill="1"/>
    <xf numFmtId="4" fontId="1" fillId="0" borderId="1" xfId="0" applyNumberFormat="1" applyFont="1" applyBorder="1" applyAlignment="1">
      <alignment vertical="center" wrapText="1"/>
    </xf>
    <xf numFmtId="0" fontId="2" fillId="0" borderId="0" xfId="0" applyFont="1" applyFill="1"/>
    <xf numFmtId="4" fontId="2" fillId="0" borderId="0" xfId="0" applyNumberFormat="1" applyFont="1" applyFill="1"/>
    <xf numFmtId="4" fontId="1" fillId="0" borderId="1" xfId="0" applyNumberFormat="1" applyFont="1" applyBorder="1" applyAlignment="1">
      <alignment horizontal="left" vertical="center" wrapText="1"/>
    </xf>
    <xf numFmtId="0" fontId="2" fillId="3" borderId="0" xfId="0" applyFont="1" applyFill="1"/>
    <xf numFmtId="0" fontId="5" fillId="0" borderId="0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left" vertical="center" wrapText="1"/>
    </xf>
    <xf numFmtId="4" fontId="6" fillId="0" borderId="0" xfId="0" applyNumberFormat="1" applyFont="1"/>
    <xf numFmtId="4" fontId="4" fillId="0" borderId="0" xfId="0" applyNumberFormat="1" applyFont="1" applyAlignment="1">
      <alignment vertical="center" wrapText="1"/>
    </xf>
    <xf numFmtId="4" fontId="2" fillId="2" borderId="0" xfId="0" applyNumberFormat="1" applyFont="1" applyFill="1"/>
    <xf numFmtId="0" fontId="4" fillId="0" borderId="2" xfId="0" applyFont="1" applyBorder="1" applyAlignment="1">
      <alignment vertical="center" wrapText="1"/>
    </xf>
    <xf numFmtId="0" fontId="3" fillId="0" borderId="0" xfId="0" applyFont="1" applyFill="1"/>
    <xf numFmtId="0" fontId="4" fillId="0" borderId="0" xfId="0" applyFont="1" applyFill="1" applyAlignment="1">
      <alignment vertical="center" wrapText="1"/>
    </xf>
    <xf numFmtId="0" fontId="3" fillId="0" borderId="0" xfId="0" applyFont="1"/>
    <xf numFmtId="0" fontId="7" fillId="0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center" wrapText="1"/>
    </xf>
    <xf numFmtId="0" fontId="3" fillId="3" borderId="0" xfId="0" applyFont="1" applyFill="1"/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3" fillId="2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4" fontId="1" fillId="0" borderId="3" xfId="0" applyNumberFormat="1" applyFont="1" applyFill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3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4" fontId="1" fillId="0" borderId="4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5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AFFCD"/>
      <color rgb="FFE6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9"/>
  <sheetViews>
    <sheetView tabSelected="1" view="pageBreakPreview" zoomScale="90" zoomScaleNormal="100" zoomScaleSheetLayoutView="90" workbookViewId="0">
      <selection activeCell="K1" sqref="K1:M1"/>
    </sheetView>
  </sheetViews>
  <sheetFormatPr defaultRowHeight="15" outlineLevelRow="1" x14ac:dyDescent="0.25"/>
  <cols>
    <col min="1" max="1" width="4.140625" style="1" customWidth="1"/>
    <col min="2" max="2" width="47.5703125" style="1" customWidth="1"/>
    <col min="3" max="3" width="23.140625" style="1" customWidth="1"/>
    <col min="4" max="4" width="17.140625" style="1" customWidth="1"/>
    <col min="5" max="5" width="14.5703125" style="1" customWidth="1"/>
    <col min="6" max="6" width="17.140625" style="13" customWidth="1"/>
    <col min="7" max="7" width="12" style="1" customWidth="1"/>
    <col min="8" max="8" width="19.140625" style="1" customWidth="1"/>
    <col min="9" max="9" width="15.5703125" style="20" customWidth="1"/>
    <col min="10" max="10" width="10" style="1" customWidth="1"/>
    <col min="11" max="11" width="13.140625" style="1" bestFit="1" customWidth="1"/>
    <col min="12" max="12" width="13.7109375" style="1" bestFit="1" customWidth="1"/>
    <col min="13" max="13" width="13.140625" style="1" bestFit="1" customWidth="1"/>
    <col min="14" max="14" width="12.28515625" style="1" customWidth="1"/>
    <col min="15" max="15" width="12.42578125" style="1" bestFit="1" customWidth="1"/>
    <col min="16" max="16" width="11.140625" style="1" customWidth="1"/>
    <col min="17" max="26" width="9.140625" style="1"/>
  </cols>
  <sheetData>
    <row r="1" spans="1:26" s="5" customFormat="1" ht="94.5" customHeight="1" x14ac:dyDescent="0.3">
      <c r="A1" s="10"/>
      <c r="B1" s="10"/>
      <c r="C1" s="10"/>
      <c r="D1" s="10"/>
      <c r="E1" s="10"/>
      <c r="F1" s="10"/>
      <c r="G1" s="10"/>
      <c r="H1" s="10"/>
      <c r="I1" s="20"/>
      <c r="J1" s="10"/>
      <c r="K1" s="134" t="s">
        <v>322</v>
      </c>
      <c r="L1" s="134"/>
      <c r="M1" s="134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s="5" customFormat="1" ht="21" customHeight="1" x14ac:dyDescent="0.3">
      <c r="A2" s="10"/>
      <c r="B2" s="10"/>
      <c r="C2" s="10"/>
      <c r="D2" s="10"/>
      <c r="E2" s="10"/>
      <c r="F2" s="10"/>
      <c r="G2" s="10"/>
      <c r="H2" s="10"/>
      <c r="I2" s="20"/>
      <c r="J2" s="52"/>
      <c r="K2" s="102"/>
      <c r="L2" s="102"/>
      <c r="M2" s="102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s="5" customFormat="1" ht="92.25" customHeight="1" x14ac:dyDescent="0.3">
      <c r="A3" s="10"/>
      <c r="F3" s="10"/>
      <c r="G3" s="20"/>
      <c r="I3" s="20"/>
      <c r="J3" s="54"/>
      <c r="K3" s="134" t="s">
        <v>157</v>
      </c>
      <c r="L3" s="134"/>
      <c r="M3" s="134"/>
    </row>
    <row r="4" spans="1:26" s="5" customFormat="1" ht="17.25" customHeight="1" x14ac:dyDescent="0.25">
      <c r="A4" s="10"/>
      <c r="F4" s="10"/>
      <c r="G4" s="20"/>
      <c r="I4" s="20"/>
      <c r="J4" s="54"/>
      <c r="K4" s="52"/>
      <c r="L4" s="52"/>
      <c r="M4" s="52"/>
    </row>
    <row r="5" spans="1:26" s="5" customFormat="1" ht="15.75" x14ac:dyDescent="0.25">
      <c r="A5" s="135" t="s">
        <v>123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s="5" customFormat="1" ht="15.75" x14ac:dyDescent="0.25">
      <c r="A6" s="14"/>
      <c r="B6" s="14"/>
      <c r="C6" s="14"/>
      <c r="D6" s="14"/>
      <c r="E6" s="14"/>
      <c r="F6" s="14"/>
      <c r="G6" s="14"/>
      <c r="H6" s="14"/>
      <c r="I6" s="55"/>
      <c r="J6" s="14"/>
      <c r="K6" s="14"/>
      <c r="L6" s="14"/>
      <c r="M6" s="14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5.75" customHeight="1" x14ac:dyDescent="0.25">
      <c r="A7" s="105" t="s">
        <v>23</v>
      </c>
      <c r="B7" s="105" t="s">
        <v>0</v>
      </c>
      <c r="C7" s="105" t="s">
        <v>1</v>
      </c>
      <c r="D7" s="105" t="s">
        <v>24</v>
      </c>
      <c r="E7" s="105" t="s">
        <v>25</v>
      </c>
      <c r="F7" s="103" t="s">
        <v>2</v>
      </c>
      <c r="G7" s="105" t="s">
        <v>26</v>
      </c>
      <c r="H7" s="105" t="s">
        <v>30</v>
      </c>
      <c r="I7" s="103" t="s">
        <v>156</v>
      </c>
      <c r="J7" s="105" t="s">
        <v>3</v>
      </c>
      <c r="K7" s="105"/>
      <c r="L7" s="105"/>
      <c r="M7" s="105"/>
    </row>
    <row r="8" spans="1:26" ht="48" customHeight="1" x14ac:dyDescent="0.25">
      <c r="A8" s="105"/>
      <c r="B8" s="105"/>
      <c r="C8" s="105"/>
      <c r="D8" s="105"/>
      <c r="E8" s="105"/>
      <c r="F8" s="103"/>
      <c r="G8" s="105"/>
      <c r="H8" s="105"/>
      <c r="I8" s="103"/>
      <c r="J8" s="105" t="s">
        <v>229</v>
      </c>
      <c r="K8" s="105" t="s">
        <v>31</v>
      </c>
      <c r="L8" s="105" t="s">
        <v>230</v>
      </c>
      <c r="M8" s="105"/>
    </row>
    <row r="9" spans="1:26" ht="63" x14ac:dyDescent="0.25">
      <c r="A9" s="105"/>
      <c r="B9" s="105"/>
      <c r="C9" s="105"/>
      <c r="D9" s="51" t="s">
        <v>4</v>
      </c>
      <c r="E9" s="105"/>
      <c r="F9" s="103"/>
      <c r="G9" s="105"/>
      <c r="H9" s="105"/>
      <c r="I9" s="103"/>
      <c r="J9" s="105"/>
      <c r="K9" s="105"/>
      <c r="L9" s="27" t="s">
        <v>63</v>
      </c>
      <c r="M9" s="27" t="s">
        <v>124</v>
      </c>
      <c r="N9" s="16"/>
    </row>
    <row r="10" spans="1:26" ht="15.75" x14ac:dyDescent="0.25">
      <c r="A10" s="51">
        <v>1</v>
      </c>
      <c r="B10" s="51">
        <v>2</v>
      </c>
      <c r="C10" s="51">
        <v>3</v>
      </c>
      <c r="D10" s="51">
        <v>4</v>
      </c>
      <c r="E10" s="51">
        <v>5</v>
      </c>
      <c r="F10" s="50">
        <v>6</v>
      </c>
      <c r="G10" s="51">
        <v>7</v>
      </c>
      <c r="H10" s="51">
        <v>8</v>
      </c>
      <c r="I10" s="50">
        <v>9</v>
      </c>
      <c r="J10" s="27">
        <v>10</v>
      </c>
      <c r="K10" s="27">
        <v>11</v>
      </c>
      <c r="L10" s="27">
        <v>12</v>
      </c>
      <c r="M10" s="27">
        <v>13</v>
      </c>
    </row>
    <row r="11" spans="1:26" ht="15.75" customHeight="1" x14ac:dyDescent="0.25">
      <c r="A11" s="123" t="s">
        <v>5</v>
      </c>
      <c r="B11" s="123"/>
      <c r="C11" s="123"/>
      <c r="D11" s="123"/>
      <c r="E11" s="123"/>
      <c r="F11" s="123"/>
      <c r="G11" s="123"/>
      <c r="H11" s="123"/>
      <c r="I11" s="123"/>
      <c r="J11" s="7" t="s">
        <v>6</v>
      </c>
      <c r="K11" s="3">
        <f>K12+K13</f>
        <v>5151490.96</v>
      </c>
      <c r="L11" s="3">
        <f t="shared" ref="L11:M11" si="0">L12+L13</f>
        <v>2323895.4899999998</v>
      </c>
      <c r="M11" s="3">
        <f t="shared" si="0"/>
        <v>2980823.24</v>
      </c>
      <c r="N11" s="17"/>
      <c r="O11" s="17"/>
      <c r="P11" s="17"/>
    </row>
    <row r="12" spans="1:26" ht="15.75" x14ac:dyDescent="0.25">
      <c r="A12" s="123"/>
      <c r="B12" s="123"/>
      <c r="C12" s="123"/>
      <c r="D12" s="123"/>
      <c r="E12" s="123"/>
      <c r="F12" s="123"/>
      <c r="G12" s="123"/>
      <c r="H12" s="123"/>
      <c r="I12" s="123"/>
      <c r="J12" s="7" t="s">
        <v>7</v>
      </c>
      <c r="K12" s="3">
        <f>K15+K44+K65+K77+K100+K113+K227+K283</f>
        <v>3778424.26</v>
      </c>
      <c r="L12" s="3">
        <f>L15+L44+L65+L77+L100+L113+L227+L283</f>
        <v>1088830.7899999998</v>
      </c>
      <c r="M12" s="3">
        <f>M15+M44+M65+M77+M100+M113+M227+M283</f>
        <v>1806096.69</v>
      </c>
      <c r="N12" s="17"/>
      <c r="O12" s="17"/>
    </row>
    <row r="13" spans="1:26" ht="15.75" x14ac:dyDescent="0.25">
      <c r="A13" s="123"/>
      <c r="B13" s="123"/>
      <c r="C13" s="123"/>
      <c r="D13" s="123"/>
      <c r="E13" s="123"/>
      <c r="F13" s="123"/>
      <c r="G13" s="123"/>
      <c r="H13" s="123"/>
      <c r="I13" s="123"/>
      <c r="J13" s="7" t="s">
        <v>8</v>
      </c>
      <c r="K13" s="3">
        <f>K16+K45+K66+K78+K101+K114+K228+K284+K313</f>
        <v>1373066.7</v>
      </c>
      <c r="L13" s="3">
        <f>L16+L45+L66+L78+L101+L114+L228+L284+L313</f>
        <v>1235064.7</v>
      </c>
      <c r="M13" s="3">
        <f>M16+M45+M66+M78+M101+M114+M228+M284+M313</f>
        <v>1174726.55</v>
      </c>
      <c r="N13" s="4"/>
      <c r="O13" s="4"/>
      <c r="P13" s="4"/>
    </row>
    <row r="14" spans="1:26" s="2" customFormat="1" ht="15.75" x14ac:dyDescent="0.25">
      <c r="A14" s="124" t="s">
        <v>81</v>
      </c>
      <c r="B14" s="124"/>
      <c r="C14" s="124"/>
      <c r="D14" s="124"/>
      <c r="E14" s="124"/>
      <c r="F14" s="124"/>
      <c r="G14" s="124"/>
      <c r="H14" s="124"/>
      <c r="I14" s="124"/>
      <c r="J14" s="7" t="s">
        <v>6</v>
      </c>
      <c r="K14" s="3">
        <f>K15+K16</f>
        <v>217992.48</v>
      </c>
      <c r="L14" s="3">
        <f t="shared" ref="L14" si="1">L15+L16</f>
        <v>282032.02</v>
      </c>
      <c r="M14" s="3">
        <f>M15+M16</f>
        <v>296905.25</v>
      </c>
      <c r="N14" s="1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s="2" customFormat="1" ht="15.75" x14ac:dyDescent="0.25">
      <c r="A15" s="124"/>
      <c r="B15" s="124"/>
      <c r="C15" s="124"/>
      <c r="D15" s="124"/>
      <c r="E15" s="124"/>
      <c r="F15" s="124"/>
      <c r="G15" s="124"/>
      <c r="H15" s="124"/>
      <c r="I15" s="124"/>
      <c r="J15" s="7" t="s">
        <v>7</v>
      </c>
      <c r="K15" s="3">
        <f>K18+K21+K26+K31+K34+K39</f>
        <v>204403.04</v>
      </c>
      <c r="L15" s="3">
        <f>L18+L21+L26+L31+L34+L39</f>
        <v>0</v>
      </c>
      <c r="M15" s="3">
        <f>M18+M21+M26+M31+M34+M39</f>
        <v>0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s="2" customFormat="1" ht="15.75" x14ac:dyDescent="0.25">
      <c r="A16" s="124"/>
      <c r="B16" s="124"/>
      <c r="C16" s="124"/>
      <c r="D16" s="124"/>
      <c r="E16" s="124"/>
      <c r="F16" s="124"/>
      <c r="G16" s="124"/>
      <c r="H16" s="124"/>
      <c r="I16" s="124"/>
      <c r="J16" s="7" t="s">
        <v>8</v>
      </c>
      <c r="K16" s="3">
        <f>K19+K22+K27+K32+K35+K37+K40+K29+K42+K24</f>
        <v>13589.44</v>
      </c>
      <c r="L16" s="3">
        <f t="shared" ref="L16:M16" si="2">L19+L22+L27+L32+L35+L37+L40+L29+L42+L24</f>
        <v>282032.02</v>
      </c>
      <c r="M16" s="3">
        <f t="shared" si="2"/>
        <v>296905.25</v>
      </c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16" s="1" customFormat="1" ht="15.75" customHeight="1" x14ac:dyDescent="0.25">
      <c r="A17" s="105" t="s">
        <v>9</v>
      </c>
      <c r="B17" s="123" t="s">
        <v>42</v>
      </c>
      <c r="C17" s="133" t="s">
        <v>228</v>
      </c>
      <c r="D17" s="51" t="s">
        <v>27</v>
      </c>
      <c r="E17" s="105" t="s">
        <v>12</v>
      </c>
      <c r="F17" s="103" t="s">
        <v>11</v>
      </c>
      <c r="G17" s="105" t="s">
        <v>14</v>
      </c>
      <c r="H17" s="106">
        <f>I17+K17+L17+M17</f>
        <v>539283.57000000007</v>
      </c>
      <c r="I17" s="107">
        <f>10174.37+313956.52</f>
        <v>324130.89</v>
      </c>
      <c r="J17" s="38" t="s">
        <v>6</v>
      </c>
      <c r="K17" s="37">
        <f t="shared" ref="K17:L17" si="3">K18+K19</f>
        <v>215152.68</v>
      </c>
      <c r="L17" s="37">
        <f t="shared" si="3"/>
        <v>0</v>
      </c>
      <c r="M17" s="37">
        <f t="shared" ref="M17" si="4">M18+M19</f>
        <v>0</v>
      </c>
    </row>
    <row r="18" spans="1:16" s="1" customFormat="1" ht="15.75" x14ac:dyDescent="0.25">
      <c r="A18" s="105"/>
      <c r="B18" s="123"/>
      <c r="C18" s="133"/>
      <c r="D18" s="105" t="s">
        <v>232</v>
      </c>
      <c r="E18" s="105"/>
      <c r="F18" s="103"/>
      <c r="G18" s="105"/>
      <c r="H18" s="105"/>
      <c r="I18" s="107"/>
      <c r="J18" s="38" t="s">
        <v>7</v>
      </c>
      <c r="K18" s="37">
        <v>204403.04</v>
      </c>
      <c r="L18" s="37">
        <v>0</v>
      </c>
      <c r="M18" s="37">
        <v>0</v>
      </c>
    </row>
    <row r="19" spans="1:16" s="1" customFormat="1" ht="31.5" customHeight="1" x14ac:dyDescent="0.25">
      <c r="A19" s="105"/>
      <c r="B19" s="123"/>
      <c r="C19" s="133"/>
      <c r="D19" s="105"/>
      <c r="E19" s="105"/>
      <c r="F19" s="103"/>
      <c r="G19" s="105"/>
      <c r="H19" s="105"/>
      <c r="I19" s="107"/>
      <c r="J19" s="38" t="s">
        <v>8</v>
      </c>
      <c r="K19" s="37">
        <v>10749.64</v>
      </c>
      <c r="L19" s="37">
        <v>0</v>
      </c>
      <c r="M19" s="37">
        <v>0</v>
      </c>
      <c r="N19" s="4"/>
    </row>
    <row r="20" spans="1:16" s="10" customFormat="1" ht="15.75" customHeight="1" x14ac:dyDescent="0.25">
      <c r="A20" s="105" t="s">
        <v>32</v>
      </c>
      <c r="B20" s="123" t="s">
        <v>41</v>
      </c>
      <c r="C20" s="105" t="s">
        <v>233</v>
      </c>
      <c r="D20" s="51" t="s">
        <v>27</v>
      </c>
      <c r="E20" s="105" t="s">
        <v>12</v>
      </c>
      <c r="F20" s="103" t="s">
        <v>11</v>
      </c>
      <c r="G20" s="105" t="s">
        <v>125</v>
      </c>
      <c r="H20" s="106">
        <f>I20+K20+L20+M20</f>
        <v>326247.34999999998</v>
      </c>
      <c r="I20" s="107">
        <f>15702.62+10464.42</f>
        <v>26167.040000000001</v>
      </c>
      <c r="J20" s="34" t="s">
        <v>6</v>
      </c>
      <c r="K20" s="37">
        <f>K21+K22</f>
        <v>0</v>
      </c>
      <c r="L20" s="37">
        <f>L21+L22</f>
        <v>154978.88999999998</v>
      </c>
      <c r="M20" s="37">
        <f>M21+M22</f>
        <v>145101.42000000001</v>
      </c>
      <c r="N20" s="11"/>
      <c r="O20" s="11"/>
      <c r="P20" s="11"/>
    </row>
    <row r="21" spans="1:16" s="1" customFormat="1" ht="15.75" x14ac:dyDescent="0.25">
      <c r="A21" s="105"/>
      <c r="B21" s="123"/>
      <c r="C21" s="105"/>
      <c r="D21" s="105" t="s">
        <v>232</v>
      </c>
      <c r="E21" s="105"/>
      <c r="F21" s="103"/>
      <c r="G21" s="105"/>
      <c r="H21" s="106"/>
      <c r="I21" s="107"/>
      <c r="J21" s="38" t="s">
        <v>7</v>
      </c>
      <c r="K21" s="37">
        <v>0</v>
      </c>
      <c r="L21" s="37">
        <v>0</v>
      </c>
      <c r="M21" s="37">
        <v>0</v>
      </c>
    </row>
    <row r="22" spans="1:16" s="1" customFormat="1" ht="26.25" customHeight="1" x14ac:dyDescent="0.25">
      <c r="A22" s="105"/>
      <c r="B22" s="123"/>
      <c r="C22" s="105"/>
      <c r="D22" s="105"/>
      <c r="E22" s="105"/>
      <c r="F22" s="103"/>
      <c r="G22" s="105"/>
      <c r="H22" s="106"/>
      <c r="I22" s="107"/>
      <c r="J22" s="38" t="s">
        <v>8</v>
      </c>
      <c r="K22" s="37">
        <v>0</v>
      </c>
      <c r="L22" s="44">
        <f>165785.3-10806.41</f>
        <v>154978.88999999998</v>
      </c>
      <c r="M22" s="44">
        <f>134295.01+10806.41</f>
        <v>145101.42000000001</v>
      </c>
    </row>
    <row r="23" spans="1:16" s="10" customFormat="1" ht="26.25" customHeight="1" x14ac:dyDescent="0.25">
      <c r="A23" s="114" t="s">
        <v>33</v>
      </c>
      <c r="B23" s="111" t="s">
        <v>39</v>
      </c>
      <c r="C23" s="114" t="s">
        <v>231</v>
      </c>
      <c r="D23" s="114" t="s">
        <v>27</v>
      </c>
      <c r="E23" s="114" t="s">
        <v>12</v>
      </c>
      <c r="F23" s="114" t="s">
        <v>158</v>
      </c>
      <c r="G23" s="114" t="s">
        <v>14</v>
      </c>
      <c r="H23" s="118">
        <f>I23+K23+L23+M23</f>
        <v>9334.81</v>
      </c>
      <c r="I23" s="118">
        <v>8736.81</v>
      </c>
      <c r="J23" s="89" t="s">
        <v>6</v>
      </c>
      <c r="K23" s="90">
        <f>K24</f>
        <v>598</v>
      </c>
      <c r="L23" s="90">
        <f t="shared" ref="L23:M23" si="5">L24</f>
        <v>0</v>
      </c>
      <c r="M23" s="90">
        <f t="shared" si="5"/>
        <v>0</v>
      </c>
    </row>
    <row r="24" spans="1:16" s="10" customFormat="1" ht="26.25" customHeight="1" x14ac:dyDescent="0.25">
      <c r="A24" s="122"/>
      <c r="B24" s="112"/>
      <c r="C24" s="122"/>
      <c r="D24" s="122"/>
      <c r="E24" s="122"/>
      <c r="F24" s="115"/>
      <c r="G24" s="115"/>
      <c r="H24" s="119"/>
      <c r="I24" s="119"/>
      <c r="J24" s="89" t="s">
        <v>8</v>
      </c>
      <c r="K24" s="90">
        <v>598</v>
      </c>
      <c r="L24" s="90">
        <v>0</v>
      </c>
      <c r="M24" s="90">
        <v>0</v>
      </c>
    </row>
    <row r="25" spans="1:16" s="10" customFormat="1" ht="15.75" customHeight="1" x14ac:dyDescent="0.25">
      <c r="A25" s="122"/>
      <c r="B25" s="112"/>
      <c r="C25" s="122"/>
      <c r="D25" s="115"/>
      <c r="E25" s="122"/>
      <c r="F25" s="103" t="s">
        <v>11</v>
      </c>
      <c r="G25" s="103" t="s">
        <v>126</v>
      </c>
      <c r="H25" s="107">
        <f>I25+K25+L25+M25</f>
        <v>88619.08</v>
      </c>
      <c r="I25" s="107">
        <f>12900</f>
        <v>12900</v>
      </c>
      <c r="J25" s="91" t="s">
        <v>6</v>
      </c>
      <c r="K25" s="90">
        <f>K26+K27</f>
        <v>0</v>
      </c>
      <c r="L25" s="90">
        <f>L26+L27</f>
        <v>29928.83</v>
      </c>
      <c r="M25" s="90">
        <f>M26+M27</f>
        <v>45790.25</v>
      </c>
    </row>
    <row r="26" spans="1:16" s="10" customFormat="1" ht="15.75" customHeight="1" x14ac:dyDescent="0.25">
      <c r="A26" s="122"/>
      <c r="B26" s="112"/>
      <c r="C26" s="122"/>
      <c r="D26" s="103" t="s">
        <v>232</v>
      </c>
      <c r="E26" s="122"/>
      <c r="F26" s="103"/>
      <c r="G26" s="103"/>
      <c r="H26" s="107"/>
      <c r="I26" s="107"/>
      <c r="J26" s="89" t="s">
        <v>7</v>
      </c>
      <c r="K26" s="90">
        <v>0</v>
      </c>
      <c r="L26" s="90">
        <v>0</v>
      </c>
      <c r="M26" s="90">
        <v>0</v>
      </c>
    </row>
    <row r="27" spans="1:16" s="10" customFormat="1" ht="34.5" customHeight="1" x14ac:dyDescent="0.25">
      <c r="A27" s="115"/>
      <c r="B27" s="113"/>
      <c r="C27" s="115"/>
      <c r="D27" s="103"/>
      <c r="E27" s="115"/>
      <c r="F27" s="103"/>
      <c r="G27" s="103"/>
      <c r="H27" s="107"/>
      <c r="I27" s="107"/>
      <c r="J27" s="89" t="s">
        <v>8</v>
      </c>
      <c r="K27" s="90">
        <v>0</v>
      </c>
      <c r="L27" s="90">
        <f>30526.83-598</f>
        <v>29928.83</v>
      </c>
      <c r="M27" s="90">
        <v>45790.25</v>
      </c>
    </row>
    <row r="28" spans="1:16" s="1" customFormat="1" ht="15.75" x14ac:dyDescent="0.25">
      <c r="A28" s="108" t="s">
        <v>34</v>
      </c>
      <c r="B28" s="125" t="s">
        <v>43</v>
      </c>
      <c r="C28" s="108" t="s">
        <v>234</v>
      </c>
      <c r="D28" s="108" t="s">
        <v>27</v>
      </c>
      <c r="E28" s="108" t="s">
        <v>12</v>
      </c>
      <c r="F28" s="103" t="s">
        <v>158</v>
      </c>
      <c r="G28" s="108" t="s">
        <v>14</v>
      </c>
      <c r="H28" s="116">
        <f>I28+K28+L28+M28</f>
        <v>6015.29</v>
      </c>
      <c r="I28" s="118">
        <v>5573.5</v>
      </c>
      <c r="J28" s="65" t="s">
        <v>6</v>
      </c>
      <c r="K28" s="66">
        <f>K29</f>
        <v>441.79</v>
      </c>
      <c r="L28" s="66">
        <f t="shared" ref="L28:M28" si="6">L29</f>
        <v>0</v>
      </c>
      <c r="M28" s="66">
        <f t="shared" si="6"/>
        <v>0</v>
      </c>
    </row>
    <row r="29" spans="1:16" s="1" customFormat="1" ht="35.25" customHeight="1" x14ac:dyDescent="0.25">
      <c r="A29" s="109"/>
      <c r="B29" s="126"/>
      <c r="C29" s="109"/>
      <c r="D29" s="109"/>
      <c r="E29" s="109"/>
      <c r="F29" s="103"/>
      <c r="G29" s="110"/>
      <c r="H29" s="117"/>
      <c r="I29" s="119"/>
      <c r="J29" s="39" t="s">
        <v>8</v>
      </c>
      <c r="K29" s="66">
        <v>441.79</v>
      </c>
      <c r="L29" s="66">
        <v>0</v>
      </c>
      <c r="M29" s="66">
        <v>0</v>
      </c>
    </row>
    <row r="30" spans="1:16" s="10" customFormat="1" ht="15.75" customHeight="1" x14ac:dyDescent="0.25">
      <c r="A30" s="109"/>
      <c r="B30" s="126"/>
      <c r="C30" s="109"/>
      <c r="D30" s="110"/>
      <c r="E30" s="109"/>
      <c r="F30" s="103" t="s">
        <v>11</v>
      </c>
      <c r="G30" s="105" t="s">
        <v>64</v>
      </c>
      <c r="H30" s="106">
        <f>I30+K30+L30+M30</f>
        <v>63128.01</v>
      </c>
      <c r="I30" s="107">
        <v>12150</v>
      </c>
      <c r="J30" s="34" t="s">
        <v>6</v>
      </c>
      <c r="K30" s="37">
        <f>K31+K32</f>
        <v>1162.19</v>
      </c>
      <c r="L30" s="37">
        <f>L31+L32</f>
        <v>49815.82</v>
      </c>
      <c r="M30" s="37">
        <f>M31+M32</f>
        <v>0</v>
      </c>
    </row>
    <row r="31" spans="1:16" s="1" customFormat="1" ht="15.75" customHeight="1" x14ac:dyDescent="0.25">
      <c r="A31" s="109"/>
      <c r="B31" s="126"/>
      <c r="C31" s="109"/>
      <c r="D31" s="105" t="s">
        <v>232</v>
      </c>
      <c r="E31" s="109"/>
      <c r="F31" s="103"/>
      <c r="G31" s="105"/>
      <c r="H31" s="106"/>
      <c r="I31" s="107"/>
      <c r="J31" s="38" t="s">
        <v>7</v>
      </c>
      <c r="K31" s="37">
        <v>0</v>
      </c>
      <c r="L31" s="37">
        <v>0</v>
      </c>
      <c r="M31" s="37">
        <v>0</v>
      </c>
    </row>
    <row r="32" spans="1:16" s="1" customFormat="1" ht="15.75" customHeight="1" x14ac:dyDescent="0.25">
      <c r="A32" s="110"/>
      <c r="B32" s="127"/>
      <c r="C32" s="110"/>
      <c r="D32" s="105"/>
      <c r="E32" s="110"/>
      <c r="F32" s="103"/>
      <c r="G32" s="105"/>
      <c r="H32" s="106"/>
      <c r="I32" s="107"/>
      <c r="J32" s="38" t="s">
        <v>8</v>
      </c>
      <c r="K32" s="37">
        <f>1603.98-441.79</f>
        <v>1162.19</v>
      </c>
      <c r="L32" s="37">
        <v>49815.82</v>
      </c>
      <c r="M32" s="37">
        <v>0</v>
      </c>
    </row>
    <row r="33" spans="1:13" s="10" customFormat="1" ht="15.75" customHeight="1" x14ac:dyDescent="0.25">
      <c r="A33" s="105" t="s">
        <v>35</v>
      </c>
      <c r="B33" s="123" t="s">
        <v>44</v>
      </c>
      <c r="C33" s="105" t="s">
        <v>235</v>
      </c>
      <c r="D33" s="51" t="s">
        <v>27</v>
      </c>
      <c r="E33" s="105" t="s">
        <v>12</v>
      </c>
      <c r="F33" s="103" t="s">
        <v>11</v>
      </c>
      <c r="G33" s="105" t="s">
        <v>126</v>
      </c>
      <c r="H33" s="106">
        <f>I33+K33+L33+M33</f>
        <v>125062.26999999999</v>
      </c>
      <c r="I33" s="107">
        <v>16786.189999999999</v>
      </c>
      <c r="J33" s="34" t="s">
        <v>6</v>
      </c>
      <c r="K33" s="37">
        <f>K34+K35</f>
        <v>0</v>
      </c>
      <c r="L33" s="37">
        <f>L34+L35</f>
        <v>10806.41</v>
      </c>
      <c r="M33" s="37">
        <f>M34+M35</f>
        <v>97469.67</v>
      </c>
    </row>
    <row r="34" spans="1:13" s="1" customFormat="1" ht="15.75" customHeight="1" x14ac:dyDescent="0.25">
      <c r="A34" s="105"/>
      <c r="B34" s="123"/>
      <c r="C34" s="105"/>
      <c r="D34" s="105" t="s">
        <v>232</v>
      </c>
      <c r="E34" s="105"/>
      <c r="F34" s="103"/>
      <c r="G34" s="105"/>
      <c r="H34" s="106"/>
      <c r="I34" s="107"/>
      <c r="J34" s="38" t="s">
        <v>7</v>
      </c>
      <c r="K34" s="37">
        <v>0</v>
      </c>
      <c r="L34" s="37">
        <v>0</v>
      </c>
      <c r="M34" s="37">
        <v>0</v>
      </c>
    </row>
    <row r="35" spans="1:13" s="1" customFormat="1" ht="31.5" customHeight="1" x14ac:dyDescent="0.25">
      <c r="A35" s="105"/>
      <c r="B35" s="123"/>
      <c r="C35" s="105"/>
      <c r="D35" s="105"/>
      <c r="E35" s="105"/>
      <c r="F35" s="103"/>
      <c r="G35" s="105"/>
      <c r="H35" s="106"/>
      <c r="I35" s="107"/>
      <c r="J35" s="38" t="s">
        <v>8</v>
      </c>
      <c r="K35" s="37">
        <v>0</v>
      </c>
      <c r="L35" s="37">
        <v>10806.41</v>
      </c>
      <c r="M35" s="37">
        <f>108276.08-10806.41</f>
        <v>97469.67</v>
      </c>
    </row>
    <row r="36" spans="1:13" s="10" customFormat="1" ht="15.75" customHeight="1" x14ac:dyDescent="0.25">
      <c r="A36" s="103" t="s">
        <v>13</v>
      </c>
      <c r="B36" s="104" t="s">
        <v>100</v>
      </c>
      <c r="C36" s="103" t="s">
        <v>236</v>
      </c>
      <c r="D36" s="103" t="s">
        <v>27</v>
      </c>
      <c r="E36" s="103" t="s">
        <v>12</v>
      </c>
      <c r="F36" s="103" t="s">
        <v>158</v>
      </c>
      <c r="G36" s="103">
        <v>2025</v>
      </c>
      <c r="H36" s="107">
        <f>I36+K36+L36+M36</f>
        <v>20634.810000000001</v>
      </c>
      <c r="I36" s="107">
        <v>0</v>
      </c>
      <c r="J36" s="31" t="s">
        <v>6</v>
      </c>
      <c r="K36" s="36">
        <f>K37</f>
        <v>0</v>
      </c>
      <c r="L36" s="36">
        <f t="shared" ref="L36:M36" si="7">L37</f>
        <v>20634.810000000001</v>
      </c>
      <c r="M36" s="36">
        <f t="shared" si="7"/>
        <v>0</v>
      </c>
    </row>
    <row r="37" spans="1:13" s="10" customFormat="1" ht="35.25" customHeight="1" x14ac:dyDescent="0.25">
      <c r="A37" s="103"/>
      <c r="B37" s="104"/>
      <c r="C37" s="103"/>
      <c r="D37" s="103"/>
      <c r="E37" s="103"/>
      <c r="F37" s="103"/>
      <c r="G37" s="103"/>
      <c r="H37" s="103"/>
      <c r="I37" s="107"/>
      <c r="J37" s="39" t="s">
        <v>8</v>
      </c>
      <c r="K37" s="36">
        <v>0</v>
      </c>
      <c r="L37" s="36">
        <v>20634.810000000001</v>
      </c>
      <c r="M37" s="36">
        <v>0</v>
      </c>
    </row>
    <row r="38" spans="1:13" s="10" customFormat="1" ht="15.75" customHeight="1" x14ac:dyDescent="0.25">
      <c r="A38" s="103"/>
      <c r="B38" s="104"/>
      <c r="C38" s="103"/>
      <c r="D38" s="103" t="s">
        <v>232</v>
      </c>
      <c r="E38" s="103"/>
      <c r="F38" s="103" t="s">
        <v>11</v>
      </c>
      <c r="G38" s="103" t="s">
        <v>133</v>
      </c>
      <c r="H38" s="107">
        <f>I38+K38+L38+M38</f>
        <v>24411.17</v>
      </c>
      <c r="I38" s="107">
        <v>0</v>
      </c>
      <c r="J38" s="39" t="s">
        <v>6</v>
      </c>
      <c r="K38" s="36">
        <f>K39+K40</f>
        <v>0</v>
      </c>
      <c r="L38" s="36">
        <f t="shared" ref="L38:M38" si="8">L39+L40</f>
        <v>15867.26</v>
      </c>
      <c r="M38" s="36">
        <f t="shared" si="8"/>
        <v>8543.91</v>
      </c>
    </row>
    <row r="39" spans="1:13" s="10" customFormat="1" ht="15.75" x14ac:dyDescent="0.25">
      <c r="A39" s="103"/>
      <c r="B39" s="104"/>
      <c r="C39" s="103"/>
      <c r="D39" s="103"/>
      <c r="E39" s="103"/>
      <c r="F39" s="103"/>
      <c r="G39" s="103"/>
      <c r="H39" s="103"/>
      <c r="I39" s="107"/>
      <c r="J39" s="39" t="s">
        <v>7</v>
      </c>
      <c r="K39" s="36">
        <v>0</v>
      </c>
      <c r="L39" s="36">
        <v>0</v>
      </c>
      <c r="M39" s="36">
        <v>0</v>
      </c>
    </row>
    <row r="40" spans="1:13" s="10" customFormat="1" ht="15.75" x14ac:dyDescent="0.25">
      <c r="A40" s="103"/>
      <c r="B40" s="104"/>
      <c r="C40" s="103"/>
      <c r="D40" s="103"/>
      <c r="E40" s="103"/>
      <c r="F40" s="103"/>
      <c r="G40" s="103"/>
      <c r="H40" s="103"/>
      <c r="I40" s="107"/>
      <c r="J40" s="39" t="s">
        <v>8</v>
      </c>
      <c r="K40" s="36">
        <v>0</v>
      </c>
      <c r="L40" s="36">
        <v>15867.26</v>
      </c>
      <c r="M40" s="36">
        <v>8543.91</v>
      </c>
    </row>
    <row r="41" spans="1:13" s="10" customFormat="1" ht="15.75" customHeight="1" x14ac:dyDescent="0.25">
      <c r="A41" s="105" t="s">
        <v>127</v>
      </c>
      <c r="B41" s="123" t="s">
        <v>309</v>
      </c>
      <c r="C41" s="103" t="s">
        <v>321</v>
      </c>
      <c r="D41" s="70" t="s">
        <v>27</v>
      </c>
      <c r="E41" s="105" t="s">
        <v>12</v>
      </c>
      <c r="F41" s="103" t="s">
        <v>11</v>
      </c>
      <c r="G41" s="105" t="s">
        <v>58</v>
      </c>
      <c r="H41" s="106">
        <f>I41+K41+L41+M41</f>
        <v>21404.35</v>
      </c>
      <c r="I41" s="107">
        <v>20766.53</v>
      </c>
      <c r="J41" s="71" t="s">
        <v>6</v>
      </c>
      <c r="K41" s="72">
        <f>K42</f>
        <v>637.82000000000005</v>
      </c>
      <c r="L41" s="72">
        <f>L42</f>
        <v>0</v>
      </c>
      <c r="M41" s="72">
        <f>M42</f>
        <v>0</v>
      </c>
    </row>
    <row r="42" spans="1:13" s="1" customFormat="1" ht="61.5" customHeight="1" x14ac:dyDescent="0.25">
      <c r="A42" s="105"/>
      <c r="B42" s="123"/>
      <c r="C42" s="103"/>
      <c r="D42" s="70" t="s">
        <v>232</v>
      </c>
      <c r="E42" s="105"/>
      <c r="F42" s="103"/>
      <c r="G42" s="105"/>
      <c r="H42" s="106"/>
      <c r="I42" s="107"/>
      <c r="J42" s="38" t="s">
        <v>8</v>
      </c>
      <c r="K42" s="72">
        <v>637.82000000000005</v>
      </c>
      <c r="L42" s="72">
        <v>0</v>
      </c>
      <c r="M42" s="72">
        <v>0</v>
      </c>
    </row>
    <row r="43" spans="1:13" s="8" customFormat="1" ht="15.75" x14ac:dyDescent="0.25">
      <c r="A43" s="124" t="s">
        <v>82</v>
      </c>
      <c r="B43" s="124"/>
      <c r="C43" s="124"/>
      <c r="D43" s="124"/>
      <c r="E43" s="124"/>
      <c r="F43" s="124"/>
      <c r="G43" s="124"/>
      <c r="H43" s="124"/>
      <c r="I43" s="124"/>
      <c r="J43" s="7" t="s">
        <v>6</v>
      </c>
      <c r="K43" s="3">
        <f t="shared" ref="K43:L43" si="9">K44+K45</f>
        <v>3529219.11</v>
      </c>
      <c r="L43" s="3">
        <f t="shared" si="9"/>
        <v>52193.25</v>
      </c>
      <c r="M43" s="3">
        <f t="shared" ref="M43" si="10">M44+M45</f>
        <v>10315.799999999999</v>
      </c>
    </row>
    <row r="44" spans="1:13" s="8" customFormat="1" ht="15.75" x14ac:dyDescent="0.25">
      <c r="A44" s="124"/>
      <c r="B44" s="124"/>
      <c r="C44" s="124"/>
      <c r="D44" s="124"/>
      <c r="E44" s="124"/>
      <c r="F44" s="124"/>
      <c r="G44" s="124"/>
      <c r="H44" s="124"/>
      <c r="I44" s="124"/>
      <c r="J44" s="7" t="s">
        <v>7</v>
      </c>
      <c r="K44" s="3">
        <f>K49+K52+K57+K62</f>
        <v>2874945.2399999998</v>
      </c>
      <c r="L44" s="3">
        <f t="shared" ref="L44:M44" si="11">L49+L52+L57+L62</f>
        <v>0</v>
      </c>
      <c r="M44" s="3">
        <f t="shared" si="11"/>
        <v>0</v>
      </c>
    </row>
    <row r="45" spans="1:13" s="8" customFormat="1" ht="15.75" x14ac:dyDescent="0.25">
      <c r="A45" s="124"/>
      <c r="B45" s="124"/>
      <c r="C45" s="124"/>
      <c r="D45" s="124"/>
      <c r="E45" s="124"/>
      <c r="F45" s="124"/>
      <c r="G45" s="124"/>
      <c r="H45" s="124"/>
      <c r="I45" s="124"/>
      <c r="J45" s="7" t="s">
        <v>8</v>
      </c>
      <c r="K45" s="3">
        <f>K50+K53+K58+K60+K63+K47+K55</f>
        <v>654273.87</v>
      </c>
      <c r="L45" s="3">
        <f t="shared" ref="L45:M45" si="12">L50+L53+L58+L60+L63+L47+L55</f>
        <v>52193.25</v>
      </c>
      <c r="M45" s="3">
        <f t="shared" si="12"/>
        <v>10315.799999999999</v>
      </c>
    </row>
    <row r="46" spans="1:13" s="10" customFormat="1" ht="15.75" x14ac:dyDescent="0.25">
      <c r="A46" s="108" t="s">
        <v>36</v>
      </c>
      <c r="B46" s="111" t="s">
        <v>46</v>
      </c>
      <c r="C46" s="114" t="s">
        <v>237</v>
      </c>
      <c r="D46" s="108" t="s">
        <v>27</v>
      </c>
      <c r="E46" s="108" t="s">
        <v>12</v>
      </c>
      <c r="F46" s="114" t="s">
        <v>176</v>
      </c>
      <c r="G46" s="114">
        <v>2024</v>
      </c>
      <c r="H46" s="118">
        <f>I46+K46+L46+M46</f>
        <v>319.89</v>
      </c>
      <c r="I46" s="118">
        <v>0</v>
      </c>
      <c r="J46" s="67" t="s">
        <v>6</v>
      </c>
      <c r="K46" s="41">
        <f>K47</f>
        <v>319.89</v>
      </c>
      <c r="L46" s="41">
        <f t="shared" ref="L46:M46" si="13">L47</f>
        <v>0</v>
      </c>
      <c r="M46" s="41">
        <f t="shared" si="13"/>
        <v>0</v>
      </c>
    </row>
    <row r="47" spans="1:13" s="10" customFormat="1" ht="31.5" customHeight="1" x14ac:dyDescent="0.25">
      <c r="A47" s="109"/>
      <c r="B47" s="112"/>
      <c r="C47" s="122"/>
      <c r="D47" s="109"/>
      <c r="E47" s="109"/>
      <c r="F47" s="115"/>
      <c r="G47" s="115"/>
      <c r="H47" s="119"/>
      <c r="I47" s="119"/>
      <c r="J47" s="67" t="s">
        <v>8</v>
      </c>
      <c r="K47" s="41">
        <v>319.89</v>
      </c>
      <c r="L47" s="41">
        <v>0</v>
      </c>
      <c r="M47" s="41">
        <v>0</v>
      </c>
    </row>
    <row r="48" spans="1:13" s="1" customFormat="1" ht="15.75" customHeight="1" x14ac:dyDescent="0.25">
      <c r="A48" s="109"/>
      <c r="B48" s="112"/>
      <c r="C48" s="122"/>
      <c r="D48" s="110"/>
      <c r="E48" s="109"/>
      <c r="F48" s="114" t="s">
        <v>11</v>
      </c>
      <c r="G48" s="108" t="s">
        <v>18</v>
      </c>
      <c r="H48" s="116">
        <f>I48+K48+L48+M48</f>
        <v>770765.98</v>
      </c>
      <c r="I48" s="118">
        <f>13200+15600+291499.58</f>
        <v>320299.58</v>
      </c>
      <c r="J48" s="40" t="s">
        <v>6</v>
      </c>
      <c r="K48" s="41">
        <f>K49+K50</f>
        <v>450466.39999999997</v>
      </c>
      <c r="L48" s="41">
        <f>L49+L50</f>
        <v>0</v>
      </c>
      <c r="M48" s="41">
        <f>M49+M50</f>
        <v>0</v>
      </c>
    </row>
    <row r="49" spans="1:13" s="1" customFormat="1" ht="15.75" customHeight="1" x14ac:dyDescent="0.25">
      <c r="A49" s="109"/>
      <c r="B49" s="112"/>
      <c r="C49" s="122"/>
      <c r="D49" s="103" t="s">
        <v>232</v>
      </c>
      <c r="E49" s="109"/>
      <c r="F49" s="122"/>
      <c r="G49" s="109"/>
      <c r="H49" s="121"/>
      <c r="I49" s="120"/>
      <c r="J49" s="38" t="s">
        <v>7</v>
      </c>
      <c r="K49" s="83">
        <f>571159.71-146426.56</f>
        <v>424733.14999999997</v>
      </c>
      <c r="L49" s="36">
        <v>0</v>
      </c>
      <c r="M49" s="36">
        <v>0</v>
      </c>
    </row>
    <row r="50" spans="1:13" s="1" customFormat="1" ht="15.75" x14ac:dyDescent="0.25">
      <c r="A50" s="110"/>
      <c r="B50" s="113"/>
      <c r="C50" s="115"/>
      <c r="D50" s="103"/>
      <c r="E50" s="110"/>
      <c r="F50" s="115"/>
      <c r="G50" s="110"/>
      <c r="H50" s="117"/>
      <c r="I50" s="119"/>
      <c r="J50" s="38" t="s">
        <v>8</v>
      </c>
      <c r="K50" s="37">
        <v>25733.25</v>
      </c>
      <c r="L50" s="37">
        <v>0</v>
      </c>
      <c r="M50" s="37">
        <v>0</v>
      </c>
    </row>
    <row r="51" spans="1:13" s="1" customFormat="1" ht="15.75" customHeight="1" x14ac:dyDescent="0.25">
      <c r="A51" s="105" t="s">
        <v>37</v>
      </c>
      <c r="B51" s="123" t="s">
        <v>98</v>
      </c>
      <c r="C51" s="105" t="s">
        <v>238</v>
      </c>
      <c r="D51" s="51" t="s">
        <v>27</v>
      </c>
      <c r="E51" s="103" t="s">
        <v>12</v>
      </c>
      <c r="F51" s="103" t="s">
        <v>11</v>
      </c>
      <c r="G51" s="105" t="s">
        <v>14</v>
      </c>
      <c r="H51" s="106">
        <f>K51+L51+M51+I51</f>
        <v>2392102.61</v>
      </c>
      <c r="I51" s="107">
        <f>14451.32+240618.54</f>
        <v>255069.86000000002</v>
      </c>
      <c r="J51" s="38" t="s">
        <v>6</v>
      </c>
      <c r="K51" s="37">
        <f>K53+K52</f>
        <v>2137032.75</v>
      </c>
      <c r="L51" s="37">
        <f>L53+L52</f>
        <v>0</v>
      </c>
      <c r="M51" s="37">
        <f>M53+M52</f>
        <v>0</v>
      </c>
    </row>
    <row r="52" spans="1:13" s="1" customFormat="1" ht="15" customHeight="1" x14ac:dyDescent="0.25">
      <c r="A52" s="105"/>
      <c r="B52" s="123"/>
      <c r="C52" s="105"/>
      <c r="D52" s="105" t="s">
        <v>65</v>
      </c>
      <c r="E52" s="103"/>
      <c r="F52" s="103"/>
      <c r="G52" s="105"/>
      <c r="H52" s="106"/>
      <c r="I52" s="107"/>
      <c r="J52" s="38" t="s">
        <v>7</v>
      </c>
      <c r="K52" s="37">
        <v>1615491.77</v>
      </c>
      <c r="L52" s="37">
        <v>0</v>
      </c>
      <c r="M52" s="37">
        <v>0</v>
      </c>
    </row>
    <row r="53" spans="1:13" s="1" customFormat="1" ht="15.75" x14ac:dyDescent="0.25">
      <c r="A53" s="105"/>
      <c r="B53" s="123"/>
      <c r="C53" s="105"/>
      <c r="D53" s="105"/>
      <c r="E53" s="103"/>
      <c r="F53" s="103"/>
      <c r="G53" s="105"/>
      <c r="H53" s="106"/>
      <c r="I53" s="107"/>
      <c r="J53" s="38" t="s">
        <v>8</v>
      </c>
      <c r="K53" s="37">
        <v>521540.98</v>
      </c>
      <c r="L53" s="37">
        <v>0</v>
      </c>
      <c r="M53" s="37">
        <v>0</v>
      </c>
    </row>
    <row r="54" spans="1:13" s="1" customFormat="1" ht="32.25" customHeight="1" x14ac:dyDescent="0.25">
      <c r="A54" s="108" t="s">
        <v>38</v>
      </c>
      <c r="B54" s="111" t="s">
        <v>45</v>
      </c>
      <c r="C54" s="108" t="s">
        <v>239</v>
      </c>
      <c r="D54" s="108" t="s">
        <v>27</v>
      </c>
      <c r="E54" s="108" t="s">
        <v>12</v>
      </c>
      <c r="F54" s="114" t="s">
        <v>176</v>
      </c>
      <c r="G54" s="108">
        <v>2024</v>
      </c>
      <c r="H54" s="116">
        <f>I54+K54+L54+M54</f>
        <v>400</v>
      </c>
      <c r="I54" s="118">
        <v>0</v>
      </c>
      <c r="J54" s="38" t="s">
        <v>6</v>
      </c>
      <c r="K54" s="72">
        <f>K55</f>
        <v>400</v>
      </c>
      <c r="L54" s="72">
        <f t="shared" ref="L54:M54" si="14">L55</f>
        <v>0</v>
      </c>
      <c r="M54" s="72">
        <f t="shared" si="14"/>
        <v>0</v>
      </c>
    </row>
    <row r="55" spans="1:13" s="1" customFormat="1" ht="15.75" x14ac:dyDescent="0.25">
      <c r="A55" s="109"/>
      <c r="B55" s="112"/>
      <c r="C55" s="109"/>
      <c r="D55" s="109"/>
      <c r="E55" s="109"/>
      <c r="F55" s="115"/>
      <c r="G55" s="110"/>
      <c r="H55" s="117"/>
      <c r="I55" s="119"/>
      <c r="J55" s="38" t="s">
        <v>8</v>
      </c>
      <c r="K55" s="72">
        <v>400</v>
      </c>
      <c r="L55" s="72">
        <v>0</v>
      </c>
      <c r="M55" s="72">
        <v>0</v>
      </c>
    </row>
    <row r="56" spans="1:13" s="10" customFormat="1" ht="15.75" customHeight="1" x14ac:dyDescent="0.25">
      <c r="A56" s="109"/>
      <c r="B56" s="112"/>
      <c r="C56" s="109"/>
      <c r="D56" s="110"/>
      <c r="E56" s="109"/>
      <c r="F56" s="103" t="s">
        <v>11</v>
      </c>
      <c r="G56" s="105" t="s">
        <v>58</v>
      </c>
      <c r="H56" s="106">
        <f>I56+K56+L56+M56</f>
        <v>1040548.3399999999</v>
      </c>
      <c r="I56" s="107">
        <f>231.79+9524.45+132825.44</f>
        <v>142581.68</v>
      </c>
      <c r="J56" s="34" t="s">
        <v>6</v>
      </c>
      <c r="K56" s="37">
        <f>K58+K57</f>
        <v>897966.65999999992</v>
      </c>
      <c r="L56" s="37">
        <f t="shared" ref="L56:M56" si="15">L58+L57</f>
        <v>0</v>
      </c>
      <c r="M56" s="37">
        <f t="shared" si="15"/>
        <v>0</v>
      </c>
    </row>
    <row r="57" spans="1:13" s="1" customFormat="1" ht="15.75" customHeight="1" x14ac:dyDescent="0.25">
      <c r="A57" s="109"/>
      <c r="B57" s="112"/>
      <c r="C57" s="109"/>
      <c r="D57" s="105" t="s">
        <v>65</v>
      </c>
      <c r="E57" s="109"/>
      <c r="F57" s="103"/>
      <c r="G57" s="105"/>
      <c r="H57" s="106"/>
      <c r="I57" s="107"/>
      <c r="J57" s="38" t="s">
        <v>7</v>
      </c>
      <c r="K57" s="37">
        <v>834720.32</v>
      </c>
      <c r="L57" s="37">
        <v>0</v>
      </c>
      <c r="M57" s="37">
        <v>0</v>
      </c>
    </row>
    <row r="58" spans="1:13" s="1" customFormat="1" ht="15.75" x14ac:dyDescent="0.25">
      <c r="A58" s="110"/>
      <c r="B58" s="113"/>
      <c r="C58" s="110"/>
      <c r="D58" s="105"/>
      <c r="E58" s="110"/>
      <c r="F58" s="103"/>
      <c r="G58" s="105"/>
      <c r="H58" s="106"/>
      <c r="I58" s="107"/>
      <c r="J58" s="38" t="s">
        <v>8</v>
      </c>
      <c r="K58" s="36">
        <f>65570.2-1923.86-400</f>
        <v>63246.34</v>
      </c>
      <c r="L58" s="36">
        <v>0</v>
      </c>
      <c r="M58" s="37">
        <v>0</v>
      </c>
    </row>
    <row r="59" spans="1:13" s="10" customFormat="1" ht="15.75" customHeight="1" x14ac:dyDescent="0.25">
      <c r="A59" s="103" t="s">
        <v>204</v>
      </c>
      <c r="B59" s="104" t="s">
        <v>115</v>
      </c>
      <c r="C59" s="103" t="s">
        <v>240</v>
      </c>
      <c r="D59" s="103" t="s">
        <v>27</v>
      </c>
      <c r="E59" s="103" t="s">
        <v>12</v>
      </c>
      <c r="F59" s="103" t="s">
        <v>158</v>
      </c>
      <c r="G59" s="103">
        <v>2024</v>
      </c>
      <c r="H59" s="107">
        <f>I59+K59+L59+M59</f>
        <v>28136.43</v>
      </c>
      <c r="I59" s="107">
        <v>0</v>
      </c>
      <c r="J59" s="31" t="s">
        <v>6</v>
      </c>
      <c r="K59" s="36">
        <f>K60</f>
        <v>28136.43</v>
      </c>
      <c r="L59" s="36">
        <f t="shared" ref="L59:M59" si="16">L60</f>
        <v>0</v>
      </c>
      <c r="M59" s="36">
        <f t="shared" si="16"/>
        <v>0</v>
      </c>
    </row>
    <row r="60" spans="1:13" s="10" customFormat="1" ht="34.5" customHeight="1" x14ac:dyDescent="0.25">
      <c r="A60" s="103"/>
      <c r="B60" s="104"/>
      <c r="C60" s="103"/>
      <c r="D60" s="103"/>
      <c r="E60" s="103"/>
      <c r="F60" s="103"/>
      <c r="G60" s="103"/>
      <c r="H60" s="103"/>
      <c r="I60" s="107"/>
      <c r="J60" s="39" t="s">
        <v>8</v>
      </c>
      <c r="K60" s="36">
        <f>27551.43+585</f>
        <v>28136.43</v>
      </c>
      <c r="L60" s="36">
        <v>0</v>
      </c>
      <c r="M60" s="36">
        <v>0</v>
      </c>
    </row>
    <row r="61" spans="1:13" s="10" customFormat="1" ht="15.75" customHeight="1" x14ac:dyDescent="0.25">
      <c r="A61" s="103"/>
      <c r="B61" s="104"/>
      <c r="C61" s="103"/>
      <c r="D61" s="103" t="s">
        <v>232</v>
      </c>
      <c r="E61" s="103"/>
      <c r="F61" s="103" t="s">
        <v>11</v>
      </c>
      <c r="G61" s="103" t="s">
        <v>122</v>
      </c>
      <c r="H61" s="107">
        <f>I61+K61+L61+M61</f>
        <v>89323.57</v>
      </c>
      <c r="I61" s="107">
        <v>11917.54</v>
      </c>
      <c r="J61" s="39" t="s">
        <v>6</v>
      </c>
      <c r="K61" s="36">
        <f>K62+K63</f>
        <v>14896.98</v>
      </c>
      <c r="L61" s="36">
        <f t="shared" ref="L61" si="17">L62+L63</f>
        <v>52193.25</v>
      </c>
      <c r="M61" s="36">
        <f>M62+M63</f>
        <v>10315.799999999999</v>
      </c>
    </row>
    <row r="62" spans="1:13" s="10" customFormat="1" ht="15.75" x14ac:dyDescent="0.25">
      <c r="A62" s="103"/>
      <c r="B62" s="104"/>
      <c r="C62" s="103"/>
      <c r="D62" s="103"/>
      <c r="E62" s="103"/>
      <c r="F62" s="103"/>
      <c r="G62" s="103"/>
      <c r="H62" s="103"/>
      <c r="I62" s="107"/>
      <c r="J62" s="39" t="s">
        <v>7</v>
      </c>
      <c r="K62" s="36">
        <v>0</v>
      </c>
      <c r="L62" s="36">
        <v>0</v>
      </c>
      <c r="M62" s="36">
        <v>0</v>
      </c>
    </row>
    <row r="63" spans="1:13" s="10" customFormat="1" ht="15.75" x14ac:dyDescent="0.25">
      <c r="A63" s="103"/>
      <c r="B63" s="104"/>
      <c r="C63" s="103"/>
      <c r="D63" s="103"/>
      <c r="E63" s="103"/>
      <c r="F63" s="103"/>
      <c r="G63" s="103"/>
      <c r="H63" s="103"/>
      <c r="I63" s="107"/>
      <c r="J63" s="39" t="s">
        <v>8</v>
      </c>
      <c r="K63" s="44">
        <v>14896.98</v>
      </c>
      <c r="L63" s="36">
        <v>52193.25</v>
      </c>
      <c r="M63" s="36">
        <f>18485.42-8169.62</f>
        <v>10315.799999999999</v>
      </c>
    </row>
    <row r="64" spans="1:13" s="29" customFormat="1" ht="15.75" x14ac:dyDescent="0.25">
      <c r="A64" s="124" t="s">
        <v>130</v>
      </c>
      <c r="B64" s="124"/>
      <c r="C64" s="124"/>
      <c r="D64" s="124"/>
      <c r="E64" s="124"/>
      <c r="F64" s="124"/>
      <c r="G64" s="124"/>
      <c r="H64" s="124"/>
      <c r="I64" s="124"/>
      <c r="J64" s="7" t="s">
        <v>6</v>
      </c>
      <c r="K64" s="3">
        <f t="shared" ref="K64:L64" si="18">K65+K66</f>
        <v>1276.2</v>
      </c>
      <c r="L64" s="3">
        <f t="shared" si="18"/>
        <v>0</v>
      </c>
      <c r="M64" s="3">
        <f t="shared" ref="M64" si="19">M65+M66</f>
        <v>82500.66</v>
      </c>
    </row>
    <row r="65" spans="1:13" s="29" customFormat="1" ht="15.75" x14ac:dyDescent="0.25">
      <c r="A65" s="124"/>
      <c r="B65" s="124"/>
      <c r="C65" s="124"/>
      <c r="D65" s="124"/>
      <c r="E65" s="124"/>
      <c r="F65" s="124"/>
      <c r="G65" s="124"/>
      <c r="H65" s="124"/>
      <c r="I65" s="124"/>
      <c r="J65" s="7" t="s">
        <v>7</v>
      </c>
      <c r="K65" s="3">
        <f>K68</f>
        <v>0</v>
      </c>
      <c r="L65" s="3">
        <f t="shared" ref="L65:M65" si="20">L68</f>
        <v>0</v>
      </c>
      <c r="M65" s="3">
        <f t="shared" si="20"/>
        <v>0</v>
      </c>
    </row>
    <row r="66" spans="1:13" s="29" customFormat="1" ht="15.75" x14ac:dyDescent="0.25">
      <c r="A66" s="124"/>
      <c r="B66" s="124"/>
      <c r="C66" s="124"/>
      <c r="D66" s="124"/>
      <c r="E66" s="124"/>
      <c r="F66" s="124"/>
      <c r="G66" s="124"/>
      <c r="H66" s="124"/>
      <c r="I66" s="124"/>
      <c r="J66" s="7" t="s">
        <v>8</v>
      </c>
      <c r="K66" s="3">
        <f>K69+K75+K71</f>
        <v>1276.2</v>
      </c>
      <c r="L66" s="3">
        <f t="shared" ref="L66:M66" si="21">L69+L75+L71</f>
        <v>0</v>
      </c>
      <c r="M66" s="3">
        <f t="shared" si="21"/>
        <v>82500.66</v>
      </c>
    </row>
    <row r="67" spans="1:13" s="1" customFormat="1" ht="15.75" x14ac:dyDescent="0.25">
      <c r="A67" s="105" t="s">
        <v>225</v>
      </c>
      <c r="B67" s="137" t="s">
        <v>47</v>
      </c>
      <c r="C67" s="105" t="s">
        <v>241</v>
      </c>
      <c r="D67" s="105" t="s">
        <v>27</v>
      </c>
      <c r="E67" s="105" t="s">
        <v>12</v>
      </c>
      <c r="F67" s="103" t="s">
        <v>11</v>
      </c>
      <c r="G67" s="105" t="s">
        <v>129</v>
      </c>
      <c r="H67" s="106">
        <f>I67+K67+L67+M67</f>
        <v>25514.68</v>
      </c>
      <c r="I67" s="103">
        <v>311.02999999999997</v>
      </c>
      <c r="J67" s="38" t="s">
        <v>6</v>
      </c>
      <c r="K67" s="37">
        <f t="shared" ref="K67:L67" si="22">K68+K69</f>
        <v>0</v>
      </c>
      <c r="L67" s="37">
        <f t="shared" si="22"/>
        <v>0</v>
      </c>
      <c r="M67" s="37">
        <f t="shared" ref="M67" si="23">M68+M69</f>
        <v>25203.65</v>
      </c>
    </row>
    <row r="68" spans="1:13" s="1" customFormat="1" ht="15.75" x14ac:dyDescent="0.25">
      <c r="A68" s="105"/>
      <c r="B68" s="137"/>
      <c r="C68" s="105"/>
      <c r="D68" s="105"/>
      <c r="E68" s="105"/>
      <c r="F68" s="103"/>
      <c r="G68" s="105"/>
      <c r="H68" s="105"/>
      <c r="I68" s="103"/>
      <c r="J68" s="38" t="s">
        <v>7</v>
      </c>
      <c r="K68" s="37">
        <v>0</v>
      </c>
      <c r="L68" s="37">
        <v>0</v>
      </c>
      <c r="M68" s="37">
        <v>0</v>
      </c>
    </row>
    <row r="69" spans="1:13" s="1" customFormat="1" ht="33.75" customHeight="1" x14ac:dyDescent="0.25">
      <c r="A69" s="105"/>
      <c r="B69" s="137"/>
      <c r="C69" s="105"/>
      <c r="D69" s="35" t="s">
        <v>232</v>
      </c>
      <c r="E69" s="105"/>
      <c r="F69" s="103"/>
      <c r="G69" s="105"/>
      <c r="H69" s="105"/>
      <c r="I69" s="103"/>
      <c r="J69" s="38" t="s">
        <v>8</v>
      </c>
      <c r="K69" s="37">
        <v>0</v>
      </c>
      <c r="L69" s="37">
        <v>0</v>
      </c>
      <c r="M69" s="37">
        <v>25203.65</v>
      </c>
    </row>
    <row r="70" spans="1:13" s="10" customFormat="1" ht="22.5" customHeight="1" x14ac:dyDescent="0.25">
      <c r="A70" s="114" t="s">
        <v>128</v>
      </c>
      <c r="B70" s="111" t="s">
        <v>48</v>
      </c>
      <c r="C70" s="114" t="s">
        <v>242</v>
      </c>
      <c r="D70" s="114" t="s">
        <v>220</v>
      </c>
      <c r="E70" s="114" t="s">
        <v>12</v>
      </c>
      <c r="F70" s="114" t="s">
        <v>176</v>
      </c>
      <c r="G70" s="114">
        <v>2024</v>
      </c>
      <c r="H70" s="118">
        <f>I70+K70+L70+M70</f>
        <v>1276.2</v>
      </c>
      <c r="I70" s="130">
        <v>0</v>
      </c>
      <c r="J70" s="89" t="s">
        <v>6</v>
      </c>
      <c r="K70" s="90">
        <f>K71</f>
        <v>1276.2</v>
      </c>
      <c r="L70" s="90">
        <f t="shared" ref="L70:M70" si="24">L71</f>
        <v>0</v>
      </c>
      <c r="M70" s="90">
        <f t="shared" si="24"/>
        <v>0</v>
      </c>
    </row>
    <row r="71" spans="1:13" s="10" customFormat="1" ht="23.25" customHeight="1" x14ac:dyDescent="0.25">
      <c r="A71" s="122"/>
      <c r="B71" s="112"/>
      <c r="C71" s="122"/>
      <c r="D71" s="122"/>
      <c r="E71" s="122"/>
      <c r="F71" s="115"/>
      <c r="G71" s="115"/>
      <c r="H71" s="115"/>
      <c r="I71" s="131"/>
      <c r="J71" s="89" t="s">
        <v>8</v>
      </c>
      <c r="K71" s="90">
        <v>1276.2</v>
      </c>
      <c r="L71" s="90">
        <v>0</v>
      </c>
      <c r="M71" s="90">
        <v>0</v>
      </c>
    </row>
    <row r="72" spans="1:13" s="10" customFormat="1" ht="15.75" customHeight="1" x14ac:dyDescent="0.25">
      <c r="A72" s="122"/>
      <c r="B72" s="112"/>
      <c r="C72" s="122"/>
      <c r="D72" s="115"/>
      <c r="E72" s="122"/>
      <c r="F72" s="103" t="s">
        <v>11</v>
      </c>
      <c r="G72" s="103" t="s">
        <v>129</v>
      </c>
      <c r="H72" s="107">
        <f>I72+K72+L72+M72</f>
        <v>65337.01</v>
      </c>
      <c r="I72" s="107">
        <f>5289+2751</f>
        <v>8040</v>
      </c>
      <c r="J72" s="104" t="s">
        <v>6</v>
      </c>
      <c r="K72" s="132">
        <f>K75</f>
        <v>0</v>
      </c>
      <c r="L72" s="132">
        <f>L75</f>
        <v>0</v>
      </c>
      <c r="M72" s="132">
        <f>M75</f>
        <v>57297.01</v>
      </c>
    </row>
    <row r="73" spans="1:13" s="10" customFormat="1" ht="15" customHeight="1" x14ac:dyDescent="0.25">
      <c r="A73" s="122"/>
      <c r="B73" s="112"/>
      <c r="C73" s="122"/>
      <c r="D73" s="103" t="s">
        <v>221</v>
      </c>
      <c r="E73" s="122"/>
      <c r="F73" s="103"/>
      <c r="G73" s="103"/>
      <c r="H73" s="107"/>
      <c r="I73" s="107"/>
      <c r="J73" s="104"/>
      <c r="K73" s="132"/>
      <c r="L73" s="132"/>
      <c r="M73" s="132"/>
    </row>
    <row r="74" spans="1:13" s="10" customFormat="1" ht="15.75" x14ac:dyDescent="0.25">
      <c r="A74" s="122"/>
      <c r="B74" s="112"/>
      <c r="C74" s="122"/>
      <c r="D74" s="103"/>
      <c r="E74" s="122"/>
      <c r="F74" s="103"/>
      <c r="G74" s="103"/>
      <c r="H74" s="107"/>
      <c r="I74" s="107"/>
      <c r="J74" s="91" t="s">
        <v>7</v>
      </c>
      <c r="K74" s="90">
        <v>0</v>
      </c>
      <c r="L74" s="90">
        <v>0</v>
      </c>
      <c r="M74" s="90">
        <v>0</v>
      </c>
    </row>
    <row r="75" spans="1:13" s="10" customFormat="1" ht="21.75" customHeight="1" x14ac:dyDescent="0.25">
      <c r="A75" s="115"/>
      <c r="B75" s="113"/>
      <c r="C75" s="115"/>
      <c r="D75" s="103"/>
      <c r="E75" s="115"/>
      <c r="F75" s="103"/>
      <c r="G75" s="103"/>
      <c r="H75" s="107"/>
      <c r="I75" s="107"/>
      <c r="J75" s="89" t="s">
        <v>8</v>
      </c>
      <c r="K75" s="90">
        <v>0</v>
      </c>
      <c r="L75" s="90">
        <v>0</v>
      </c>
      <c r="M75" s="90">
        <v>57297.01</v>
      </c>
    </row>
    <row r="76" spans="1:13" s="29" customFormat="1" ht="13.5" customHeight="1" x14ac:dyDescent="0.25">
      <c r="A76" s="124" t="s">
        <v>83</v>
      </c>
      <c r="B76" s="124"/>
      <c r="C76" s="124"/>
      <c r="D76" s="124"/>
      <c r="E76" s="124"/>
      <c r="F76" s="124"/>
      <c r="G76" s="124"/>
      <c r="H76" s="124"/>
      <c r="I76" s="124"/>
      <c r="J76" s="7" t="s">
        <v>6</v>
      </c>
      <c r="K76" s="3">
        <f t="shared" ref="K76:L76" si="25">K77+K78</f>
        <v>30449.600000000002</v>
      </c>
      <c r="L76" s="3">
        <f t="shared" si="25"/>
        <v>23955.65</v>
      </c>
      <c r="M76" s="3">
        <f t="shared" ref="M76" si="26">M77+M78</f>
        <v>126107.62999999998</v>
      </c>
    </row>
    <row r="77" spans="1:13" s="29" customFormat="1" ht="14.25" customHeight="1" x14ac:dyDescent="0.25">
      <c r="A77" s="124"/>
      <c r="B77" s="124"/>
      <c r="C77" s="124"/>
      <c r="D77" s="124"/>
      <c r="E77" s="124"/>
      <c r="F77" s="124"/>
      <c r="G77" s="124"/>
      <c r="H77" s="124"/>
      <c r="I77" s="124"/>
      <c r="J77" s="7" t="s">
        <v>7</v>
      </c>
      <c r="K77" s="3">
        <v>0</v>
      </c>
      <c r="L77" s="3">
        <v>0</v>
      </c>
      <c r="M77" s="3">
        <v>0</v>
      </c>
    </row>
    <row r="78" spans="1:13" s="29" customFormat="1" ht="15.75" x14ac:dyDescent="0.25">
      <c r="A78" s="124"/>
      <c r="B78" s="124"/>
      <c r="C78" s="124"/>
      <c r="D78" s="124"/>
      <c r="E78" s="124"/>
      <c r="F78" s="124"/>
      <c r="G78" s="124"/>
      <c r="H78" s="124"/>
      <c r="I78" s="124"/>
      <c r="J78" s="7" t="s">
        <v>8</v>
      </c>
      <c r="K78" s="3">
        <f>K93+K98+K90+K95+K83+K85+K88</f>
        <v>30449.600000000002</v>
      </c>
      <c r="L78" s="3">
        <f t="shared" ref="L78:M78" si="27">L93+L98+L90+L95+L83+L85+L88</f>
        <v>23955.65</v>
      </c>
      <c r="M78" s="3">
        <f t="shared" si="27"/>
        <v>126107.62999999998</v>
      </c>
    </row>
    <row r="79" spans="1:13" s="20" customFormat="1" ht="31.5" hidden="1" customHeight="1" outlineLevel="1" x14ac:dyDescent="0.25">
      <c r="A79" s="108" t="s">
        <v>66</v>
      </c>
      <c r="B79" s="125" t="s">
        <v>59</v>
      </c>
      <c r="C79" s="108" t="s">
        <v>243</v>
      </c>
      <c r="D79" s="108" t="s">
        <v>28</v>
      </c>
      <c r="E79" s="108" t="s">
        <v>12</v>
      </c>
      <c r="F79" s="103" t="s">
        <v>158</v>
      </c>
      <c r="G79" s="114" t="s">
        <v>18</v>
      </c>
      <c r="H79" s="118">
        <f>I79+K79+L79+M79</f>
        <v>10016.57</v>
      </c>
      <c r="I79" s="118">
        <v>10016.57</v>
      </c>
      <c r="J79" s="67" t="s">
        <v>6</v>
      </c>
      <c r="K79" s="41">
        <f>K80</f>
        <v>0</v>
      </c>
      <c r="L79" s="41">
        <f t="shared" ref="L79:M79" si="28">L80</f>
        <v>0</v>
      </c>
      <c r="M79" s="41">
        <f t="shared" si="28"/>
        <v>0</v>
      </c>
    </row>
    <row r="80" spans="1:13" s="20" customFormat="1" ht="15.75" hidden="1" outlineLevel="1" x14ac:dyDescent="0.25">
      <c r="A80" s="109"/>
      <c r="B80" s="126"/>
      <c r="C80" s="109"/>
      <c r="D80" s="109"/>
      <c r="E80" s="109"/>
      <c r="F80" s="103"/>
      <c r="G80" s="115"/>
      <c r="H80" s="115"/>
      <c r="I80" s="119"/>
      <c r="J80" s="67" t="s">
        <v>8</v>
      </c>
      <c r="K80" s="41">
        <v>0</v>
      </c>
      <c r="L80" s="41">
        <v>0</v>
      </c>
      <c r="M80" s="41">
        <v>0</v>
      </c>
    </row>
    <row r="81" spans="1:14" s="1" customFormat="1" ht="18.75" customHeight="1" collapsed="1" x14ac:dyDescent="0.25">
      <c r="A81" s="109"/>
      <c r="B81" s="126"/>
      <c r="C81" s="109"/>
      <c r="D81" s="110"/>
      <c r="E81" s="109"/>
      <c r="F81" s="114" t="s">
        <v>11</v>
      </c>
      <c r="G81" s="108" t="s">
        <v>126</v>
      </c>
      <c r="H81" s="116">
        <f>I81+K81+L81+M81</f>
        <v>25733.77</v>
      </c>
      <c r="I81" s="118">
        <v>4595.8100000000004</v>
      </c>
      <c r="J81" s="40" t="s">
        <v>6</v>
      </c>
      <c r="K81" s="43">
        <f>K83</f>
        <v>16929.91</v>
      </c>
      <c r="L81" s="43">
        <f>L83</f>
        <v>1558.32</v>
      </c>
      <c r="M81" s="43">
        <f>M83</f>
        <v>2649.73</v>
      </c>
    </row>
    <row r="82" spans="1:14" s="1" customFormat="1" ht="15" customHeight="1" x14ac:dyDescent="0.25">
      <c r="A82" s="109"/>
      <c r="B82" s="126"/>
      <c r="C82" s="109"/>
      <c r="D82" s="108" t="s">
        <v>310</v>
      </c>
      <c r="E82" s="109"/>
      <c r="F82" s="122"/>
      <c r="G82" s="109"/>
      <c r="H82" s="121"/>
      <c r="I82" s="120"/>
      <c r="J82" s="38" t="s">
        <v>7</v>
      </c>
      <c r="K82" s="9">
        <v>0</v>
      </c>
      <c r="L82" s="9">
        <v>0</v>
      </c>
      <c r="M82" s="9">
        <v>0</v>
      </c>
      <c r="N82" s="19"/>
    </row>
    <row r="83" spans="1:14" s="1" customFormat="1" ht="31.5" customHeight="1" x14ac:dyDescent="0.25">
      <c r="A83" s="110"/>
      <c r="B83" s="127"/>
      <c r="C83" s="110"/>
      <c r="D83" s="110"/>
      <c r="E83" s="110"/>
      <c r="F83" s="115"/>
      <c r="G83" s="110"/>
      <c r="H83" s="117"/>
      <c r="I83" s="119"/>
      <c r="J83" s="38" t="s">
        <v>8</v>
      </c>
      <c r="K83" s="37">
        <v>16929.91</v>
      </c>
      <c r="L83" s="37">
        <v>1558.32</v>
      </c>
      <c r="M83" s="37">
        <v>2649.73</v>
      </c>
      <c r="N83" s="19"/>
    </row>
    <row r="84" spans="1:14" s="10" customFormat="1" ht="15.75" customHeight="1" x14ac:dyDescent="0.25">
      <c r="A84" s="105" t="s">
        <v>131</v>
      </c>
      <c r="B84" s="123" t="s">
        <v>188</v>
      </c>
      <c r="C84" s="103" t="s">
        <v>244</v>
      </c>
      <c r="D84" s="103" t="s">
        <v>27</v>
      </c>
      <c r="E84" s="105" t="s">
        <v>12</v>
      </c>
      <c r="F84" s="103" t="s">
        <v>60</v>
      </c>
      <c r="G84" s="103" t="s">
        <v>18</v>
      </c>
      <c r="H84" s="107">
        <f>I84+K84+L84+M84</f>
        <v>12043.05</v>
      </c>
      <c r="I84" s="107">
        <v>8981.06</v>
      </c>
      <c r="J84" s="76" t="s">
        <v>6</v>
      </c>
      <c r="K84" s="78">
        <f>K85</f>
        <v>3061.99</v>
      </c>
      <c r="L84" s="78">
        <f t="shared" ref="L84:M84" si="29">L85</f>
        <v>0</v>
      </c>
      <c r="M84" s="78">
        <f t="shared" si="29"/>
        <v>0</v>
      </c>
    </row>
    <row r="85" spans="1:14" s="10" customFormat="1" ht="45.75" customHeight="1" x14ac:dyDescent="0.25">
      <c r="A85" s="105"/>
      <c r="B85" s="123"/>
      <c r="C85" s="103"/>
      <c r="D85" s="103"/>
      <c r="E85" s="105"/>
      <c r="F85" s="103"/>
      <c r="G85" s="103"/>
      <c r="H85" s="103"/>
      <c r="I85" s="107"/>
      <c r="J85" s="80" t="s">
        <v>8</v>
      </c>
      <c r="K85" s="78">
        <v>3061.99</v>
      </c>
      <c r="L85" s="78">
        <v>0</v>
      </c>
      <c r="M85" s="78">
        <v>0</v>
      </c>
    </row>
    <row r="86" spans="1:14" s="1" customFormat="1" ht="15.75" customHeight="1" x14ac:dyDescent="0.25">
      <c r="A86" s="105"/>
      <c r="B86" s="123"/>
      <c r="C86" s="103"/>
      <c r="D86" s="105" t="s">
        <v>65</v>
      </c>
      <c r="E86" s="105"/>
      <c r="F86" s="103" t="s">
        <v>11</v>
      </c>
      <c r="G86" s="105" t="s">
        <v>125</v>
      </c>
      <c r="H86" s="106">
        <f>I86+K86+L86+M86</f>
        <v>36869.740000000005</v>
      </c>
      <c r="I86" s="107">
        <v>9069.24</v>
      </c>
      <c r="J86" s="77" t="s">
        <v>6</v>
      </c>
      <c r="K86" s="79">
        <f>K88</f>
        <v>10457.700000000001</v>
      </c>
      <c r="L86" s="79">
        <f>L88</f>
        <v>14521.12</v>
      </c>
      <c r="M86" s="79">
        <f>M88</f>
        <v>2821.68</v>
      </c>
    </row>
    <row r="87" spans="1:14" s="1" customFormat="1" ht="15.75" x14ac:dyDescent="0.25">
      <c r="A87" s="105"/>
      <c r="B87" s="123"/>
      <c r="C87" s="103"/>
      <c r="D87" s="105"/>
      <c r="E87" s="105"/>
      <c r="F87" s="103"/>
      <c r="G87" s="105"/>
      <c r="H87" s="106"/>
      <c r="I87" s="107"/>
      <c r="J87" s="77" t="s">
        <v>7</v>
      </c>
      <c r="K87" s="79">
        <v>0</v>
      </c>
      <c r="L87" s="79">
        <v>0</v>
      </c>
      <c r="M87" s="79">
        <v>0</v>
      </c>
    </row>
    <row r="88" spans="1:14" s="1" customFormat="1" ht="15.75" x14ac:dyDescent="0.25">
      <c r="A88" s="105"/>
      <c r="B88" s="123"/>
      <c r="C88" s="103"/>
      <c r="D88" s="105"/>
      <c r="E88" s="105"/>
      <c r="F88" s="103"/>
      <c r="G88" s="105"/>
      <c r="H88" s="106"/>
      <c r="I88" s="107"/>
      <c r="J88" s="38" t="s">
        <v>8</v>
      </c>
      <c r="K88" s="79">
        <v>10457.700000000001</v>
      </c>
      <c r="L88" s="79">
        <v>14521.12</v>
      </c>
      <c r="M88" s="79">
        <v>2821.68</v>
      </c>
    </row>
    <row r="89" spans="1:14" s="20" customFormat="1" ht="15.75" customHeight="1" x14ac:dyDescent="0.25">
      <c r="A89" s="105" t="s">
        <v>180</v>
      </c>
      <c r="B89" s="123" t="s">
        <v>132</v>
      </c>
      <c r="C89" s="103" t="s">
        <v>245</v>
      </c>
      <c r="D89" s="103" t="s">
        <v>27</v>
      </c>
      <c r="E89" s="105" t="s">
        <v>12</v>
      </c>
      <c r="F89" s="103" t="s">
        <v>158</v>
      </c>
      <c r="G89" s="103">
        <v>2026</v>
      </c>
      <c r="H89" s="107">
        <f>I89+K89+L89+M89</f>
        <v>23610.36</v>
      </c>
      <c r="I89" s="107">
        <v>0</v>
      </c>
      <c r="J89" s="31" t="s">
        <v>6</v>
      </c>
      <c r="K89" s="36">
        <f>K90</f>
        <v>0</v>
      </c>
      <c r="L89" s="36">
        <f t="shared" ref="L89" si="30">L90</f>
        <v>0</v>
      </c>
      <c r="M89" s="36">
        <f t="shared" ref="M89" si="31">M90</f>
        <v>23610.36</v>
      </c>
    </row>
    <row r="90" spans="1:14" s="20" customFormat="1" ht="37.5" customHeight="1" x14ac:dyDescent="0.25">
      <c r="A90" s="105"/>
      <c r="B90" s="123"/>
      <c r="C90" s="103"/>
      <c r="D90" s="103"/>
      <c r="E90" s="105"/>
      <c r="F90" s="103"/>
      <c r="G90" s="103"/>
      <c r="H90" s="103"/>
      <c r="I90" s="107"/>
      <c r="J90" s="39" t="s">
        <v>8</v>
      </c>
      <c r="K90" s="36">
        <v>0</v>
      </c>
      <c r="L90" s="36">
        <v>0</v>
      </c>
      <c r="M90" s="36">
        <v>23610.36</v>
      </c>
    </row>
    <row r="91" spans="1:14" s="22" customFormat="1" ht="15.75" customHeight="1" x14ac:dyDescent="0.25">
      <c r="A91" s="105"/>
      <c r="B91" s="123"/>
      <c r="C91" s="103"/>
      <c r="D91" s="105" t="s">
        <v>65</v>
      </c>
      <c r="E91" s="105"/>
      <c r="F91" s="103" t="s">
        <v>11</v>
      </c>
      <c r="G91" s="105">
        <v>2026</v>
      </c>
      <c r="H91" s="106">
        <f>I91+K91+L91+M91</f>
        <v>14905.21</v>
      </c>
      <c r="I91" s="107">
        <v>0</v>
      </c>
      <c r="J91" s="34" t="s">
        <v>6</v>
      </c>
      <c r="K91" s="37">
        <f>K93</f>
        <v>0</v>
      </c>
      <c r="L91" s="37">
        <f>L93</f>
        <v>0</v>
      </c>
      <c r="M91" s="37">
        <f>M93</f>
        <v>14905.21</v>
      </c>
    </row>
    <row r="92" spans="1:14" s="22" customFormat="1" ht="15.75" x14ac:dyDescent="0.25">
      <c r="A92" s="105"/>
      <c r="B92" s="123"/>
      <c r="C92" s="103"/>
      <c r="D92" s="105"/>
      <c r="E92" s="105"/>
      <c r="F92" s="103"/>
      <c r="G92" s="105"/>
      <c r="H92" s="106"/>
      <c r="I92" s="107"/>
      <c r="J92" s="34" t="s">
        <v>7</v>
      </c>
      <c r="K92" s="37">
        <v>0</v>
      </c>
      <c r="L92" s="37">
        <v>0</v>
      </c>
      <c r="M92" s="37">
        <v>0</v>
      </c>
    </row>
    <row r="93" spans="1:14" s="22" customFormat="1" ht="15.75" x14ac:dyDescent="0.25">
      <c r="A93" s="105"/>
      <c r="B93" s="123"/>
      <c r="C93" s="103"/>
      <c r="D93" s="105"/>
      <c r="E93" s="105"/>
      <c r="F93" s="103"/>
      <c r="G93" s="105"/>
      <c r="H93" s="106"/>
      <c r="I93" s="107"/>
      <c r="J93" s="38" t="s">
        <v>8</v>
      </c>
      <c r="K93" s="37">
        <v>0</v>
      </c>
      <c r="L93" s="37">
        <v>0</v>
      </c>
      <c r="M93" s="37">
        <v>14905.21</v>
      </c>
    </row>
    <row r="94" spans="1:14" s="1" customFormat="1" ht="29.25" customHeight="1" x14ac:dyDescent="0.25">
      <c r="A94" s="105" t="s">
        <v>205</v>
      </c>
      <c r="B94" s="123" t="s">
        <v>145</v>
      </c>
      <c r="C94" s="103" t="s">
        <v>246</v>
      </c>
      <c r="D94" s="103" t="s">
        <v>27</v>
      </c>
      <c r="E94" s="105" t="s">
        <v>12</v>
      </c>
      <c r="F94" s="103" t="s">
        <v>158</v>
      </c>
      <c r="G94" s="105">
        <v>2025</v>
      </c>
      <c r="H94" s="107">
        <f>I94+K94+L94+M94</f>
        <v>5171.3999999999996</v>
      </c>
      <c r="I94" s="107">
        <v>0</v>
      </c>
      <c r="J94" s="31" t="s">
        <v>6</v>
      </c>
      <c r="K94" s="36">
        <f>K95</f>
        <v>0</v>
      </c>
      <c r="L94" s="36">
        <f t="shared" ref="L94:M94" si="32">L95</f>
        <v>5171.3999999999996</v>
      </c>
      <c r="M94" s="36">
        <f t="shared" si="32"/>
        <v>0</v>
      </c>
    </row>
    <row r="95" spans="1:14" s="1" customFormat="1" ht="24" customHeight="1" x14ac:dyDescent="0.25">
      <c r="A95" s="105"/>
      <c r="B95" s="123"/>
      <c r="C95" s="103"/>
      <c r="D95" s="103"/>
      <c r="E95" s="105"/>
      <c r="F95" s="103"/>
      <c r="G95" s="105"/>
      <c r="H95" s="103"/>
      <c r="I95" s="107"/>
      <c r="J95" s="39" t="s">
        <v>8</v>
      </c>
      <c r="K95" s="37">
        <v>0</v>
      </c>
      <c r="L95" s="37">
        <v>5171.3999999999996</v>
      </c>
      <c r="M95" s="37">
        <v>0</v>
      </c>
    </row>
    <row r="96" spans="1:14" s="1" customFormat="1" ht="15.75" customHeight="1" x14ac:dyDescent="0.25">
      <c r="A96" s="105"/>
      <c r="B96" s="123"/>
      <c r="C96" s="103"/>
      <c r="D96" s="105" t="s">
        <v>65</v>
      </c>
      <c r="E96" s="105"/>
      <c r="F96" s="103" t="s">
        <v>11</v>
      </c>
      <c r="G96" s="105" t="s">
        <v>133</v>
      </c>
      <c r="H96" s="106">
        <f>I96+K96+L96+M96</f>
        <v>84825.459999999992</v>
      </c>
      <c r="I96" s="107">
        <v>0</v>
      </c>
      <c r="J96" s="38" t="s">
        <v>6</v>
      </c>
      <c r="K96" s="9">
        <f>K98</f>
        <v>0</v>
      </c>
      <c r="L96" s="9">
        <f>L98</f>
        <v>2704.81</v>
      </c>
      <c r="M96" s="9">
        <f>M98</f>
        <v>82120.649999999994</v>
      </c>
      <c r="N96" s="128"/>
    </row>
    <row r="97" spans="1:14" s="1" customFormat="1" ht="15" customHeight="1" x14ac:dyDescent="0.25">
      <c r="A97" s="105"/>
      <c r="B97" s="123"/>
      <c r="C97" s="103"/>
      <c r="D97" s="105"/>
      <c r="E97" s="105"/>
      <c r="F97" s="103"/>
      <c r="G97" s="105"/>
      <c r="H97" s="105"/>
      <c r="I97" s="107"/>
      <c r="J97" s="38" t="s">
        <v>7</v>
      </c>
      <c r="K97" s="9">
        <v>0</v>
      </c>
      <c r="L97" s="9">
        <v>0</v>
      </c>
      <c r="M97" s="9">
        <v>0</v>
      </c>
      <c r="N97" s="128"/>
    </row>
    <row r="98" spans="1:14" s="1" customFormat="1" ht="15.75" x14ac:dyDescent="0.25">
      <c r="A98" s="105"/>
      <c r="B98" s="123"/>
      <c r="C98" s="103"/>
      <c r="D98" s="105"/>
      <c r="E98" s="105"/>
      <c r="F98" s="103"/>
      <c r="G98" s="105"/>
      <c r="H98" s="105"/>
      <c r="I98" s="107"/>
      <c r="J98" s="38" t="s">
        <v>8</v>
      </c>
      <c r="K98" s="37">
        <v>0</v>
      </c>
      <c r="L98" s="37">
        <v>2704.81</v>
      </c>
      <c r="M98" s="37">
        <v>82120.649999999994</v>
      </c>
      <c r="N98" s="19"/>
    </row>
    <row r="99" spans="1:14" s="8" customFormat="1" ht="15.75" x14ac:dyDescent="0.25">
      <c r="A99" s="124" t="s">
        <v>84</v>
      </c>
      <c r="B99" s="124"/>
      <c r="C99" s="124"/>
      <c r="D99" s="124"/>
      <c r="E99" s="124"/>
      <c r="F99" s="124"/>
      <c r="G99" s="124"/>
      <c r="H99" s="124"/>
      <c r="I99" s="124"/>
      <c r="J99" s="7" t="s">
        <v>6</v>
      </c>
      <c r="K99" s="3">
        <f t="shared" ref="K99:L99" si="33">K100+K101</f>
        <v>0</v>
      </c>
      <c r="L99" s="3">
        <f t="shared" si="33"/>
        <v>213864.19</v>
      </c>
      <c r="M99" s="3">
        <f t="shared" ref="M99" si="34">M100+M101</f>
        <v>357613.62</v>
      </c>
    </row>
    <row r="100" spans="1:14" s="8" customFormat="1" ht="15.75" x14ac:dyDescent="0.25">
      <c r="A100" s="124"/>
      <c r="B100" s="124"/>
      <c r="C100" s="124"/>
      <c r="D100" s="124"/>
      <c r="E100" s="124"/>
      <c r="F100" s="124"/>
      <c r="G100" s="124"/>
      <c r="H100" s="124"/>
      <c r="I100" s="124"/>
      <c r="J100" s="7" t="s">
        <v>7</v>
      </c>
      <c r="K100" s="3">
        <f>K103+K106</f>
        <v>0</v>
      </c>
      <c r="L100" s="3">
        <f t="shared" ref="L100:M100" si="35">L103+L106</f>
        <v>128318.52</v>
      </c>
      <c r="M100" s="3">
        <f t="shared" si="35"/>
        <v>187955.44</v>
      </c>
    </row>
    <row r="101" spans="1:14" s="8" customFormat="1" ht="15.75" x14ac:dyDescent="0.25">
      <c r="A101" s="124"/>
      <c r="B101" s="124"/>
      <c r="C101" s="124"/>
      <c r="D101" s="124"/>
      <c r="E101" s="124"/>
      <c r="F101" s="124"/>
      <c r="G101" s="124"/>
      <c r="H101" s="124"/>
      <c r="I101" s="124"/>
      <c r="J101" s="7" t="s">
        <v>8</v>
      </c>
      <c r="K101" s="3">
        <f>K104+K107</f>
        <v>0</v>
      </c>
      <c r="L101" s="3">
        <f>L104+L107+L109+L111</f>
        <v>85545.670000000013</v>
      </c>
      <c r="M101" s="3">
        <f>M104+M107+M109+M111</f>
        <v>169658.18000000002</v>
      </c>
    </row>
    <row r="102" spans="1:14" s="1" customFormat="1" ht="15.75" customHeight="1" x14ac:dyDescent="0.25">
      <c r="A102" s="105" t="s">
        <v>134</v>
      </c>
      <c r="B102" s="125" t="s">
        <v>49</v>
      </c>
      <c r="C102" s="114" t="s">
        <v>247</v>
      </c>
      <c r="D102" s="42" t="s">
        <v>28</v>
      </c>
      <c r="E102" s="105" t="s">
        <v>12</v>
      </c>
      <c r="F102" s="103" t="s">
        <v>15</v>
      </c>
      <c r="G102" s="105" t="s">
        <v>133</v>
      </c>
      <c r="H102" s="106">
        <f>I102+K102+L102+M102</f>
        <v>186187.66</v>
      </c>
      <c r="I102" s="129">
        <v>0</v>
      </c>
      <c r="J102" s="38" t="s">
        <v>6</v>
      </c>
      <c r="K102" s="37">
        <f>K103+K104</f>
        <v>0</v>
      </c>
      <c r="L102" s="37">
        <f t="shared" ref="L102:M102" si="36">L103+L104</f>
        <v>83333.33</v>
      </c>
      <c r="M102" s="37">
        <f t="shared" si="36"/>
        <v>102854.33</v>
      </c>
    </row>
    <row r="103" spans="1:14" s="1" customFormat="1" ht="15.75" x14ac:dyDescent="0.25">
      <c r="A103" s="105"/>
      <c r="B103" s="126"/>
      <c r="C103" s="122"/>
      <c r="D103" s="108" t="s">
        <v>88</v>
      </c>
      <c r="E103" s="105"/>
      <c r="F103" s="103"/>
      <c r="G103" s="105"/>
      <c r="H103" s="106"/>
      <c r="I103" s="129"/>
      <c r="J103" s="38" t="s">
        <v>7</v>
      </c>
      <c r="K103" s="36">
        <v>0</v>
      </c>
      <c r="L103" s="36">
        <v>50000</v>
      </c>
      <c r="M103" s="37">
        <v>61712.6</v>
      </c>
    </row>
    <row r="104" spans="1:14" s="1" customFormat="1" ht="30.75" customHeight="1" x14ac:dyDescent="0.25">
      <c r="A104" s="105"/>
      <c r="B104" s="127"/>
      <c r="C104" s="115"/>
      <c r="D104" s="110"/>
      <c r="E104" s="105"/>
      <c r="F104" s="103"/>
      <c r="G104" s="105"/>
      <c r="H104" s="106"/>
      <c r="I104" s="129"/>
      <c r="J104" s="38" t="s">
        <v>8</v>
      </c>
      <c r="K104" s="37">
        <v>0</v>
      </c>
      <c r="L104" s="37">
        <v>33333.33</v>
      </c>
      <c r="M104" s="37">
        <v>41141.730000000003</v>
      </c>
    </row>
    <row r="105" spans="1:14" s="1" customFormat="1" ht="15.75" x14ac:dyDescent="0.25">
      <c r="A105" s="105" t="s">
        <v>181</v>
      </c>
      <c r="B105" s="104" t="s">
        <v>90</v>
      </c>
      <c r="C105" s="105" t="s">
        <v>248</v>
      </c>
      <c r="D105" s="35" t="s">
        <v>28</v>
      </c>
      <c r="E105" s="105" t="s">
        <v>12</v>
      </c>
      <c r="F105" s="103" t="s">
        <v>15</v>
      </c>
      <c r="G105" s="105" t="s">
        <v>133</v>
      </c>
      <c r="H105" s="106">
        <f>I105+K105+L105+M105</f>
        <v>345304.99</v>
      </c>
      <c r="I105" s="107">
        <v>4369.3900000000003</v>
      </c>
      <c r="J105" s="38" t="s">
        <v>6</v>
      </c>
      <c r="K105" s="37">
        <f>K106+K107</f>
        <v>0</v>
      </c>
      <c r="L105" s="37">
        <f>L106+L107</f>
        <v>130530.86000000002</v>
      </c>
      <c r="M105" s="37">
        <f>M106+M107</f>
        <v>210404.74</v>
      </c>
    </row>
    <row r="106" spans="1:14" s="1" customFormat="1" ht="15.75" x14ac:dyDescent="0.25">
      <c r="A106" s="105"/>
      <c r="B106" s="104"/>
      <c r="C106" s="105"/>
      <c r="D106" s="108" t="s">
        <v>88</v>
      </c>
      <c r="E106" s="105"/>
      <c r="F106" s="103"/>
      <c r="G106" s="105"/>
      <c r="H106" s="105"/>
      <c r="I106" s="107"/>
      <c r="J106" s="38" t="s">
        <v>7</v>
      </c>
      <c r="K106" s="36">
        <v>0</v>
      </c>
      <c r="L106" s="36">
        <v>78318.52</v>
      </c>
      <c r="M106" s="36">
        <v>126242.84</v>
      </c>
    </row>
    <row r="107" spans="1:14" s="1" customFormat="1" ht="37.5" customHeight="1" x14ac:dyDescent="0.25">
      <c r="A107" s="105"/>
      <c r="B107" s="104"/>
      <c r="C107" s="105"/>
      <c r="D107" s="110"/>
      <c r="E107" s="105"/>
      <c r="F107" s="103"/>
      <c r="G107" s="105"/>
      <c r="H107" s="105"/>
      <c r="I107" s="107"/>
      <c r="J107" s="38" t="s">
        <v>8</v>
      </c>
      <c r="K107" s="36">
        <v>0</v>
      </c>
      <c r="L107" s="36">
        <f>53770.66-1558.32</f>
        <v>52212.340000000004</v>
      </c>
      <c r="M107" s="36">
        <v>84161.9</v>
      </c>
    </row>
    <row r="108" spans="1:14" s="1" customFormat="1" ht="15.75" customHeight="1" x14ac:dyDescent="0.25">
      <c r="A108" s="114" t="s">
        <v>206</v>
      </c>
      <c r="B108" s="111" t="s">
        <v>147</v>
      </c>
      <c r="C108" s="114" t="s">
        <v>249</v>
      </c>
      <c r="D108" s="108" t="s">
        <v>27</v>
      </c>
      <c r="E108" s="108" t="s">
        <v>12</v>
      </c>
      <c r="F108" s="103" t="s">
        <v>158</v>
      </c>
      <c r="G108" s="105">
        <v>2026</v>
      </c>
      <c r="H108" s="106">
        <f>I108+K108+L108+M108</f>
        <v>12577.26</v>
      </c>
      <c r="I108" s="129">
        <v>0</v>
      </c>
      <c r="J108" s="45" t="s">
        <v>6</v>
      </c>
      <c r="K108" s="46">
        <f>K109</f>
        <v>0</v>
      </c>
      <c r="L108" s="46">
        <f>L109</f>
        <v>0</v>
      </c>
      <c r="M108" s="46">
        <f>M109</f>
        <v>12577.26</v>
      </c>
      <c r="N108" s="6"/>
    </row>
    <row r="109" spans="1:14" s="1" customFormat="1" ht="32.25" customHeight="1" x14ac:dyDescent="0.25">
      <c r="A109" s="122"/>
      <c r="B109" s="112"/>
      <c r="C109" s="122"/>
      <c r="D109" s="110"/>
      <c r="E109" s="109"/>
      <c r="F109" s="103"/>
      <c r="G109" s="105"/>
      <c r="H109" s="106"/>
      <c r="I109" s="129"/>
      <c r="J109" s="38" t="s">
        <v>8</v>
      </c>
      <c r="K109" s="46">
        <v>0</v>
      </c>
      <c r="L109" s="46">
        <v>0</v>
      </c>
      <c r="M109" s="46">
        <v>12577.26</v>
      </c>
      <c r="N109" s="6"/>
    </row>
    <row r="110" spans="1:14" s="1" customFormat="1" ht="15.75" customHeight="1" x14ac:dyDescent="0.25">
      <c r="A110" s="122"/>
      <c r="B110" s="112"/>
      <c r="C110" s="122"/>
      <c r="D110" s="108" t="s">
        <v>232</v>
      </c>
      <c r="E110" s="109"/>
      <c r="F110" s="103" t="s">
        <v>11</v>
      </c>
      <c r="G110" s="105">
        <v>2026</v>
      </c>
      <c r="H110" s="106">
        <f>I110+K110+L110+M110</f>
        <v>31777.29</v>
      </c>
      <c r="I110" s="129">
        <v>0</v>
      </c>
      <c r="J110" s="45" t="s">
        <v>6</v>
      </c>
      <c r="K110" s="46">
        <f>K111</f>
        <v>0</v>
      </c>
      <c r="L110" s="46">
        <f>L111</f>
        <v>0</v>
      </c>
      <c r="M110" s="46">
        <f>M111</f>
        <v>31777.29</v>
      </c>
      <c r="N110" s="6"/>
    </row>
    <row r="111" spans="1:14" s="1" customFormat="1" ht="15.75" x14ac:dyDescent="0.25">
      <c r="A111" s="115"/>
      <c r="B111" s="113"/>
      <c r="C111" s="115"/>
      <c r="D111" s="110"/>
      <c r="E111" s="110"/>
      <c r="F111" s="103"/>
      <c r="G111" s="105"/>
      <c r="H111" s="106"/>
      <c r="I111" s="129"/>
      <c r="J111" s="38" t="s">
        <v>8</v>
      </c>
      <c r="K111" s="46">
        <v>0</v>
      </c>
      <c r="L111" s="46">
        <v>0</v>
      </c>
      <c r="M111" s="46">
        <v>31777.29</v>
      </c>
      <c r="N111" s="6"/>
    </row>
    <row r="112" spans="1:14" s="8" customFormat="1" ht="15.75" x14ac:dyDescent="0.25">
      <c r="A112" s="124" t="s">
        <v>85</v>
      </c>
      <c r="B112" s="124"/>
      <c r="C112" s="124"/>
      <c r="D112" s="124"/>
      <c r="E112" s="124"/>
      <c r="F112" s="124"/>
      <c r="G112" s="124"/>
      <c r="H112" s="124"/>
      <c r="I112" s="124"/>
      <c r="J112" s="7" t="s">
        <v>6</v>
      </c>
      <c r="K112" s="3">
        <f>K113+K114</f>
        <v>821907.15999999992</v>
      </c>
      <c r="L112" s="3">
        <f t="shared" ref="L112" si="37">L113+L114</f>
        <v>1313019.52</v>
      </c>
      <c r="M112" s="3">
        <f t="shared" ref="M112" si="38">M113+M114</f>
        <v>1992053.51</v>
      </c>
    </row>
    <row r="113" spans="1:16" s="8" customFormat="1" ht="15.75" x14ac:dyDescent="0.25">
      <c r="A113" s="124"/>
      <c r="B113" s="124"/>
      <c r="C113" s="124"/>
      <c r="D113" s="124"/>
      <c r="E113" s="124"/>
      <c r="F113" s="124"/>
      <c r="G113" s="124"/>
      <c r="H113" s="124"/>
      <c r="I113" s="124"/>
      <c r="J113" s="7" t="s">
        <v>7</v>
      </c>
      <c r="K113" s="3">
        <f>K128+K136+K139+K148+K154+K161+K169+K177+K180+K183+K190+K195+K200+K203+K206+K209+K216+K116+K119+K133+K166+K172</f>
        <v>538817.2699999999</v>
      </c>
      <c r="L113" s="3">
        <f>L128+L136+L139+L148+L154+L161+L169+L177+L180+L183+L190+L195+L200+L203+L206+L209+L216+L116+L119+L133+L166+L172</f>
        <v>956314.05999999994</v>
      </c>
      <c r="M113" s="3">
        <f>M128+M136+M139+M148+M154+M161+M169+M177+M180+M183+M190+M195+M200+M203+M206+M209+M216+M116+M119+M133+M166+M172</f>
        <v>1618141.25</v>
      </c>
    </row>
    <row r="114" spans="1:16" s="8" customFormat="1" ht="15.75" x14ac:dyDescent="0.25">
      <c r="A114" s="124"/>
      <c r="B114" s="124"/>
      <c r="C114" s="124"/>
      <c r="D114" s="124"/>
      <c r="E114" s="124"/>
      <c r="F114" s="124"/>
      <c r="G114" s="124"/>
      <c r="H114" s="124"/>
      <c r="I114" s="124"/>
      <c r="J114" s="7" t="s">
        <v>8</v>
      </c>
      <c r="K114" s="3">
        <f>K117+K120+K129+K131+K134+K137+K140+K142+K144+K149+K152+K155+K157+K159+K162+K164+K167+K170+K173+K175+K178+K184+K186+K188+K191+K193+K196+K198+K201+K204+K207+K210+K212+K214+K217+K220+K225+K123+K126+K223+K146</f>
        <v>283089.89</v>
      </c>
      <c r="L114" s="3">
        <f t="shared" ref="L114:M114" si="39">L117+L120+L129+L131+L134+L137+L140+L142+L144+L149+L152+L155+L157+L159+L162+L164+L167+L170+L173+L175+L178+L184+L186+L188+L191+L193+L196+L198+L201+L204+L207+L210+L212+L214+L217+L220+L225+L123+L126+L223+L146</f>
        <v>356705.46000000008</v>
      </c>
      <c r="M114" s="3">
        <f t="shared" si="39"/>
        <v>373912.26</v>
      </c>
      <c r="N114" s="18"/>
      <c r="O114" s="18"/>
      <c r="P114" s="18"/>
    </row>
    <row r="115" spans="1:16" s="10" customFormat="1" ht="15.75" customHeight="1" x14ac:dyDescent="0.25">
      <c r="A115" s="105" t="s">
        <v>207</v>
      </c>
      <c r="B115" s="123" t="s">
        <v>159</v>
      </c>
      <c r="C115" s="103" t="s">
        <v>250</v>
      </c>
      <c r="D115" s="59" t="s">
        <v>29</v>
      </c>
      <c r="E115" s="105" t="s">
        <v>10</v>
      </c>
      <c r="F115" s="103" t="s">
        <v>15</v>
      </c>
      <c r="G115" s="105" t="s">
        <v>58</v>
      </c>
      <c r="H115" s="106">
        <f>I115+K115+L115+M115</f>
        <v>597586.81999999995</v>
      </c>
      <c r="I115" s="107">
        <f>138588.93+111942.92+300338.6</f>
        <v>550870.44999999995</v>
      </c>
      <c r="J115" s="60" t="s">
        <v>6</v>
      </c>
      <c r="K115" s="61">
        <f>K116+K117</f>
        <v>46716.37</v>
      </c>
      <c r="L115" s="61">
        <f>L116+L117</f>
        <v>0</v>
      </c>
      <c r="M115" s="61">
        <f>M116+M117</f>
        <v>0</v>
      </c>
    </row>
    <row r="116" spans="1:16" s="1" customFormat="1" ht="15.75" x14ac:dyDescent="0.25">
      <c r="A116" s="105"/>
      <c r="B116" s="123"/>
      <c r="C116" s="103"/>
      <c r="D116" s="105" t="s">
        <v>16</v>
      </c>
      <c r="E116" s="105"/>
      <c r="F116" s="103"/>
      <c r="G116" s="105"/>
      <c r="H116" s="106"/>
      <c r="I116" s="107"/>
      <c r="J116" s="38" t="s">
        <v>7</v>
      </c>
      <c r="K116" s="63">
        <v>39215.040000000001</v>
      </c>
      <c r="L116" s="62">
        <v>0</v>
      </c>
      <c r="M116" s="62">
        <v>0</v>
      </c>
    </row>
    <row r="117" spans="1:16" s="1" customFormat="1" ht="15.75" x14ac:dyDescent="0.25">
      <c r="A117" s="105"/>
      <c r="B117" s="123"/>
      <c r="C117" s="103"/>
      <c r="D117" s="105"/>
      <c r="E117" s="105"/>
      <c r="F117" s="103"/>
      <c r="G117" s="105"/>
      <c r="H117" s="106"/>
      <c r="I117" s="107"/>
      <c r="J117" s="38" t="s">
        <v>8</v>
      </c>
      <c r="K117" s="99">
        <f>396.11+6062.22+35+1008</f>
        <v>7501.33</v>
      </c>
      <c r="L117" s="62">
        <v>0</v>
      </c>
      <c r="M117" s="62">
        <v>0</v>
      </c>
    </row>
    <row r="118" spans="1:16" s="10" customFormat="1" ht="15.75" x14ac:dyDescent="0.25">
      <c r="A118" s="103" t="s">
        <v>135</v>
      </c>
      <c r="B118" s="104" t="s">
        <v>160</v>
      </c>
      <c r="C118" s="103" t="s">
        <v>251</v>
      </c>
      <c r="D118" s="103" t="s">
        <v>29</v>
      </c>
      <c r="E118" s="103" t="s">
        <v>10</v>
      </c>
      <c r="F118" s="103" t="s">
        <v>11</v>
      </c>
      <c r="G118" s="103" t="s">
        <v>14</v>
      </c>
      <c r="H118" s="107">
        <f>I118+K118+L118+M118</f>
        <v>155513.04</v>
      </c>
      <c r="I118" s="107">
        <f>12098.29+140124.81</f>
        <v>152223.1</v>
      </c>
      <c r="J118" s="39" t="s">
        <v>6</v>
      </c>
      <c r="K118" s="61">
        <f>K119+K120</f>
        <v>3289.94</v>
      </c>
      <c r="L118" s="61">
        <f t="shared" ref="L118:M118" si="40">L119+L120</f>
        <v>0</v>
      </c>
      <c r="M118" s="61">
        <f t="shared" si="40"/>
        <v>0</v>
      </c>
    </row>
    <row r="119" spans="1:16" s="10" customFormat="1" ht="15.75" x14ac:dyDescent="0.25">
      <c r="A119" s="103"/>
      <c r="B119" s="104"/>
      <c r="C119" s="103"/>
      <c r="D119" s="103"/>
      <c r="E119" s="103"/>
      <c r="F119" s="103"/>
      <c r="G119" s="103"/>
      <c r="H119" s="103"/>
      <c r="I119" s="107"/>
      <c r="J119" s="39" t="s">
        <v>7</v>
      </c>
      <c r="K119" s="61">
        <v>2470.0700000000002</v>
      </c>
      <c r="L119" s="61">
        <v>0</v>
      </c>
      <c r="M119" s="61">
        <v>0</v>
      </c>
    </row>
    <row r="120" spans="1:16" s="10" customFormat="1" ht="39.75" customHeight="1" x14ac:dyDescent="0.25">
      <c r="A120" s="103"/>
      <c r="B120" s="104"/>
      <c r="C120" s="103"/>
      <c r="D120" s="59" t="s">
        <v>16</v>
      </c>
      <c r="E120" s="103"/>
      <c r="F120" s="103"/>
      <c r="G120" s="103"/>
      <c r="H120" s="103"/>
      <c r="I120" s="107"/>
      <c r="J120" s="39" t="s">
        <v>8</v>
      </c>
      <c r="K120" s="99">
        <f>24.95+13.54+800.29-18.91</f>
        <v>819.87</v>
      </c>
      <c r="L120" s="61">
        <v>0</v>
      </c>
      <c r="M120" s="61">
        <v>0</v>
      </c>
    </row>
    <row r="121" spans="1:16" s="10" customFormat="1" ht="15.75" x14ac:dyDescent="0.25">
      <c r="A121" s="103" t="s">
        <v>208</v>
      </c>
      <c r="B121" s="104" t="s">
        <v>192</v>
      </c>
      <c r="C121" s="103" t="s">
        <v>252</v>
      </c>
      <c r="D121" s="103" t="s">
        <v>29</v>
      </c>
      <c r="E121" s="103" t="s">
        <v>10</v>
      </c>
      <c r="F121" s="103" t="s">
        <v>11</v>
      </c>
      <c r="G121" s="103" t="s">
        <v>72</v>
      </c>
      <c r="H121" s="107">
        <f>I121+K121+L121+M121</f>
        <v>1741.8999999999999</v>
      </c>
      <c r="I121" s="107">
        <v>0</v>
      </c>
      <c r="J121" s="80" t="s">
        <v>6</v>
      </c>
      <c r="K121" s="78">
        <f>K122+K123</f>
        <v>207.81</v>
      </c>
      <c r="L121" s="78">
        <f t="shared" ref="L121:M121" si="41">L122+L123</f>
        <v>1534.09</v>
      </c>
      <c r="M121" s="78">
        <f t="shared" si="41"/>
        <v>0</v>
      </c>
    </row>
    <row r="122" spans="1:16" s="10" customFormat="1" ht="15.75" x14ac:dyDescent="0.25">
      <c r="A122" s="103"/>
      <c r="B122" s="104"/>
      <c r="C122" s="103"/>
      <c r="D122" s="103"/>
      <c r="E122" s="103"/>
      <c r="F122" s="103"/>
      <c r="G122" s="103"/>
      <c r="H122" s="103"/>
      <c r="I122" s="107"/>
      <c r="J122" s="80" t="s">
        <v>7</v>
      </c>
      <c r="K122" s="78">
        <v>0</v>
      </c>
      <c r="L122" s="78">
        <v>0</v>
      </c>
      <c r="M122" s="78">
        <v>0</v>
      </c>
    </row>
    <row r="123" spans="1:16" s="10" customFormat="1" ht="45.75" customHeight="1" x14ac:dyDescent="0.25">
      <c r="A123" s="103"/>
      <c r="B123" s="104"/>
      <c r="C123" s="103"/>
      <c r="D123" s="74" t="s">
        <v>16</v>
      </c>
      <c r="E123" s="103"/>
      <c r="F123" s="103"/>
      <c r="G123" s="103"/>
      <c r="H123" s="103"/>
      <c r="I123" s="107"/>
      <c r="J123" s="80" t="s">
        <v>8</v>
      </c>
      <c r="K123" s="90">
        <v>207.81</v>
      </c>
      <c r="L123" s="78">
        <v>1534.09</v>
      </c>
      <c r="M123" s="78">
        <v>0</v>
      </c>
    </row>
    <row r="124" spans="1:16" s="10" customFormat="1" ht="15.75" x14ac:dyDescent="0.25">
      <c r="A124" s="103" t="s">
        <v>191</v>
      </c>
      <c r="B124" s="104" t="s">
        <v>193</v>
      </c>
      <c r="C124" s="103" t="s">
        <v>253</v>
      </c>
      <c r="D124" s="103" t="s">
        <v>29</v>
      </c>
      <c r="E124" s="103" t="s">
        <v>10</v>
      </c>
      <c r="F124" s="103" t="s">
        <v>15</v>
      </c>
      <c r="G124" s="103">
        <v>2025</v>
      </c>
      <c r="H124" s="107">
        <f>I124+K124+L124+M124</f>
        <v>603.02</v>
      </c>
      <c r="I124" s="107">
        <v>0</v>
      </c>
      <c r="J124" s="80" t="s">
        <v>6</v>
      </c>
      <c r="K124" s="78">
        <f>K125+K126</f>
        <v>0</v>
      </c>
      <c r="L124" s="78">
        <f t="shared" ref="L124:M124" si="42">L125+L126</f>
        <v>603.02</v>
      </c>
      <c r="M124" s="78">
        <f t="shared" si="42"/>
        <v>0</v>
      </c>
    </row>
    <row r="125" spans="1:16" s="10" customFormat="1" ht="15.75" x14ac:dyDescent="0.25">
      <c r="A125" s="103"/>
      <c r="B125" s="104"/>
      <c r="C125" s="103"/>
      <c r="D125" s="103"/>
      <c r="E125" s="103"/>
      <c r="F125" s="103"/>
      <c r="G125" s="103"/>
      <c r="H125" s="103"/>
      <c r="I125" s="107"/>
      <c r="J125" s="80" t="s">
        <v>7</v>
      </c>
      <c r="K125" s="78">
        <v>0</v>
      </c>
      <c r="L125" s="78">
        <v>0</v>
      </c>
      <c r="M125" s="78">
        <v>0</v>
      </c>
    </row>
    <row r="126" spans="1:16" s="10" customFormat="1" ht="27.75" customHeight="1" x14ac:dyDescent="0.25">
      <c r="A126" s="103"/>
      <c r="B126" s="104"/>
      <c r="C126" s="103"/>
      <c r="D126" s="74" t="s">
        <v>16</v>
      </c>
      <c r="E126" s="103"/>
      <c r="F126" s="103"/>
      <c r="G126" s="103"/>
      <c r="H126" s="103"/>
      <c r="I126" s="107"/>
      <c r="J126" s="80" t="s">
        <v>8</v>
      </c>
      <c r="K126" s="78">
        <v>0</v>
      </c>
      <c r="L126" s="78">
        <v>603.02</v>
      </c>
      <c r="M126" s="78">
        <v>0</v>
      </c>
    </row>
    <row r="127" spans="1:16" s="10" customFormat="1" ht="15.75" customHeight="1" x14ac:dyDescent="0.25">
      <c r="A127" s="108" t="s">
        <v>195</v>
      </c>
      <c r="B127" s="111" t="s">
        <v>50</v>
      </c>
      <c r="C127" s="108" t="s">
        <v>254</v>
      </c>
      <c r="D127" s="35" t="s">
        <v>29</v>
      </c>
      <c r="E127" s="108" t="s">
        <v>10</v>
      </c>
      <c r="F127" s="114" t="s">
        <v>15</v>
      </c>
      <c r="G127" s="105" t="s">
        <v>101</v>
      </c>
      <c r="H127" s="106">
        <f>I127+K127+L127+M127</f>
        <v>354625.07999999996</v>
      </c>
      <c r="I127" s="107">
        <v>44.5</v>
      </c>
      <c r="J127" s="34" t="s">
        <v>6</v>
      </c>
      <c r="K127" s="37">
        <f>K128+K129</f>
        <v>1045.23</v>
      </c>
      <c r="L127" s="37">
        <f>L128+L129</f>
        <v>353535.35</v>
      </c>
      <c r="M127" s="37">
        <f>M128+M129</f>
        <v>0</v>
      </c>
    </row>
    <row r="128" spans="1:16" s="1" customFormat="1" ht="15.75" x14ac:dyDescent="0.25">
      <c r="A128" s="109"/>
      <c r="B128" s="112"/>
      <c r="C128" s="109"/>
      <c r="D128" s="108" t="s">
        <v>16</v>
      </c>
      <c r="E128" s="109"/>
      <c r="F128" s="122"/>
      <c r="G128" s="105"/>
      <c r="H128" s="106"/>
      <c r="I128" s="107"/>
      <c r="J128" s="34" t="s">
        <v>7</v>
      </c>
      <c r="K128" s="37">
        <v>0</v>
      </c>
      <c r="L128" s="37">
        <v>350000</v>
      </c>
      <c r="M128" s="37">
        <v>0</v>
      </c>
    </row>
    <row r="129" spans="1:14" s="1" customFormat="1" ht="15.75" x14ac:dyDescent="0.25">
      <c r="A129" s="109"/>
      <c r="B129" s="112"/>
      <c r="C129" s="109"/>
      <c r="D129" s="110"/>
      <c r="E129" s="109"/>
      <c r="F129" s="115"/>
      <c r="G129" s="105"/>
      <c r="H129" s="106"/>
      <c r="I129" s="107"/>
      <c r="J129" s="38" t="s">
        <v>8</v>
      </c>
      <c r="K129" s="90">
        <f>54.4+599+391.83</f>
        <v>1045.23</v>
      </c>
      <c r="L129" s="36">
        <v>3535.35</v>
      </c>
      <c r="M129" s="36">
        <v>0</v>
      </c>
    </row>
    <row r="130" spans="1:14" s="1" customFormat="1" ht="45.75" hidden="1" customHeight="1" x14ac:dyDescent="0.25">
      <c r="A130" s="109"/>
      <c r="B130" s="112"/>
      <c r="C130" s="109"/>
      <c r="D130" s="108" t="s">
        <v>116</v>
      </c>
      <c r="E130" s="109"/>
      <c r="F130" s="140" t="s">
        <v>117</v>
      </c>
      <c r="G130" s="108">
        <v>2024</v>
      </c>
      <c r="H130" s="116">
        <f>I130+K130+L130+M130</f>
        <v>0</v>
      </c>
      <c r="I130" s="138">
        <v>0</v>
      </c>
      <c r="J130" s="38" t="s">
        <v>6</v>
      </c>
      <c r="K130" s="98">
        <v>0</v>
      </c>
      <c r="L130" s="79">
        <f t="shared" ref="L130:M130" si="43">L131</f>
        <v>0</v>
      </c>
      <c r="M130" s="79">
        <f t="shared" si="43"/>
        <v>0</v>
      </c>
    </row>
    <row r="131" spans="1:14" s="1" customFormat="1" ht="15.75" hidden="1" x14ac:dyDescent="0.25">
      <c r="A131" s="110"/>
      <c r="B131" s="113"/>
      <c r="C131" s="110"/>
      <c r="D131" s="110"/>
      <c r="E131" s="110"/>
      <c r="F131" s="141"/>
      <c r="G131" s="110"/>
      <c r="H131" s="110"/>
      <c r="I131" s="139"/>
      <c r="J131" s="38" t="s">
        <v>8</v>
      </c>
      <c r="K131" s="90"/>
      <c r="L131" s="78">
        <v>0</v>
      </c>
      <c r="M131" s="78">
        <v>0</v>
      </c>
    </row>
    <row r="132" spans="1:14" s="1" customFormat="1" ht="15.75" x14ac:dyDescent="0.25">
      <c r="A132" s="105" t="s">
        <v>209</v>
      </c>
      <c r="B132" s="123" t="s">
        <v>161</v>
      </c>
      <c r="C132" s="103" t="s">
        <v>255</v>
      </c>
      <c r="D132" s="57" t="s">
        <v>29</v>
      </c>
      <c r="E132" s="105" t="s">
        <v>10</v>
      </c>
      <c r="F132" s="103" t="s">
        <v>15</v>
      </c>
      <c r="G132" s="105" t="s">
        <v>18</v>
      </c>
      <c r="H132" s="106">
        <f>I132+K132+L132+M132</f>
        <v>148526.30000000002</v>
      </c>
      <c r="I132" s="107">
        <f>18.36+72378.34+75323.13</f>
        <v>147719.83000000002</v>
      </c>
      <c r="J132" s="60" t="s">
        <v>6</v>
      </c>
      <c r="K132" s="62">
        <f>K133+K134</f>
        <v>806.46999999999991</v>
      </c>
      <c r="L132" s="62">
        <f t="shared" ref="L132:M132" si="44">L133+L134</f>
        <v>0</v>
      </c>
      <c r="M132" s="62">
        <f t="shared" si="44"/>
        <v>0</v>
      </c>
    </row>
    <row r="133" spans="1:14" s="1" customFormat="1" ht="15.75" x14ac:dyDescent="0.25">
      <c r="A133" s="105"/>
      <c r="B133" s="123"/>
      <c r="C133" s="103"/>
      <c r="D133" s="105" t="s">
        <v>16</v>
      </c>
      <c r="E133" s="105"/>
      <c r="F133" s="103"/>
      <c r="G133" s="105"/>
      <c r="H133" s="106"/>
      <c r="I133" s="107"/>
      <c r="J133" s="38" t="s">
        <v>7</v>
      </c>
      <c r="K133" s="62">
        <v>798.41</v>
      </c>
      <c r="L133" s="62">
        <v>0</v>
      </c>
      <c r="M133" s="62">
        <v>0</v>
      </c>
    </row>
    <row r="134" spans="1:14" s="1" customFormat="1" ht="15.75" x14ac:dyDescent="0.25">
      <c r="A134" s="105"/>
      <c r="B134" s="123"/>
      <c r="C134" s="103"/>
      <c r="D134" s="105"/>
      <c r="E134" s="105"/>
      <c r="F134" s="103"/>
      <c r="G134" s="105"/>
      <c r="H134" s="106"/>
      <c r="I134" s="107"/>
      <c r="J134" s="38" t="s">
        <v>8</v>
      </c>
      <c r="K134" s="62">
        <v>8.06</v>
      </c>
      <c r="L134" s="62">
        <v>0</v>
      </c>
      <c r="M134" s="62">
        <v>0</v>
      </c>
    </row>
    <row r="135" spans="1:14" s="10" customFormat="1" ht="15.75" customHeight="1" x14ac:dyDescent="0.25">
      <c r="A135" s="122" t="s">
        <v>210</v>
      </c>
      <c r="B135" s="111" t="s">
        <v>51</v>
      </c>
      <c r="C135" s="114" t="s">
        <v>256</v>
      </c>
      <c r="D135" s="32" t="s">
        <v>29</v>
      </c>
      <c r="E135" s="114" t="s">
        <v>10</v>
      </c>
      <c r="F135" s="103" t="s">
        <v>11</v>
      </c>
      <c r="G135" s="103" t="s">
        <v>64</v>
      </c>
      <c r="H135" s="107">
        <f>I135+K135+L135+M135</f>
        <v>708.68</v>
      </c>
      <c r="I135" s="107">
        <v>0.55000000000000004</v>
      </c>
      <c r="J135" s="31" t="s">
        <v>6</v>
      </c>
      <c r="K135" s="36">
        <f>K136+K137</f>
        <v>0</v>
      </c>
      <c r="L135" s="36">
        <f>L136+L137</f>
        <v>708.13</v>
      </c>
      <c r="M135" s="36">
        <f>M136+M137</f>
        <v>0</v>
      </c>
    </row>
    <row r="136" spans="1:14" s="10" customFormat="1" ht="15.75" x14ac:dyDescent="0.25">
      <c r="A136" s="122"/>
      <c r="B136" s="112"/>
      <c r="C136" s="122"/>
      <c r="D136" s="103" t="s">
        <v>16</v>
      </c>
      <c r="E136" s="122"/>
      <c r="F136" s="103"/>
      <c r="G136" s="103"/>
      <c r="H136" s="107"/>
      <c r="I136" s="107"/>
      <c r="J136" s="39" t="s">
        <v>7</v>
      </c>
      <c r="K136" s="83">
        <v>0</v>
      </c>
      <c r="L136" s="36">
        <v>0</v>
      </c>
      <c r="M136" s="36">
        <v>0</v>
      </c>
    </row>
    <row r="137" spans="1:14" s="10" customFormat="1" ht="15.75" x14ac:dyDescent="0.25">
      <c r="A137" s="115"/>
      <c r="B137" s="113"/>
      <c r="C137" s="115"/>
      <c r="D137" s="103"/>
      <c r="E137" s="115"/>
      <c r="F137" s="103"/>
      <c r="G137" s="103"/>
      <c r="H137" s="107"/>
      <c r="I137" s="107"/>
      <c r="J137" s="39" t="s">
        <v>8</v>
      </c>
      <c r="K137" s="36">
        <v>0</v>
      </c>
      <c r="L137" s="36">
        <v>708.13</v>
      </c>
      <c r="M137" s="36">
        <v>0</v>
      </c>
    </row>
    <row r="138" spans="1:14" s="1" customFormat="1" ht="15" customHeight="1" x14ac:dyDescent="0.25">
      <c r="A138" s="105" t="s">
        <v>211</v>
      </c>
      <c r="B138" s="123" t="s">
        <v>136</v>
      </c>
      <c r="C138" s="105" t="s">
        <v>257</v>
      </c>
      <c r="D138" s="35" t="s">
        <v>29</v>
      </c>
      <c r="E138" s="105" t="s">
        <v>10</v>
      </c>
      <c r="F138" s="103" t="s">
        <v>19</v>
      </c>
      <c r="G138" s="105">
        <v>2025</v>
      </c>
      <c r="H138" s="106">
        <f>I138+K138+L138+M138</f>
        <v>7862.44</v>
      </c>
      <c r="I138" s="107">
        <v>0</v>
      </c>
      <c r="J138" s="38" t="s">
        <v>6</v>
      </c>
      <c r="K138" s="37">
        <f t="shared" ref="K138:M138" si="45">K140</f>
        <v>0</v>
      </c>
      <c r="L138" s="37">
        <f t="shared" si="45"/>
        <v>7862.44</v>
      </c>
      <c r="M138" s="37">
        <f t="shared" si="45"/>
        <v>0</v>
      </c>
    </row>
    <row r="139" spans="1:14" s="1" customFormat="1" ht="15" customHeight="1" x14ac:dyDescent="0.25">
      <c r="A139" s="105"/>
      <c r="B139" s="123"/>
      <c r="C139" s="105"/>
      <c r="D139" s="105" t="s">
        <v>16</v>
      </c>
      <c r="E139" s="105"/>
      <c r="F139" s="103"/>
      <c r="G139" s="105"/>
      <c r="H139" s="106"/>
      <c r="I139" s="107"/>
      <c r="J139" s="38" t="s">
        <v>7</v>
      </c>
      <c r="K139" s="37">
        <v>0</v>
      </c>
      <c r="L139" s="37">
        <v>0</v>
      </c>
      <c r="M139" s="37">
        <v>0</v>
      </c>
    </row>
    <row r="140" spans="1:14" s="1" customFormat="1" ht="22.5" customHeight="1" x14ac:dyDescent="0.25">
      <c r="A140" s="105"/>
      <c r="B140" s="123"/>
      <c r="C140" s="105"/>
      <c r="D140" s="105"/>
      <c r="E140" s="105"/>
      <c r="F140" s="103"/>
      <c r="G140" s="105"/>
      <c r="H140" s="105"/>
      <c r="I140" s="107"/>
      <c r="J140" s="38" t="s">
        <v>8</v>
      </c>
      <c r="K140" s="37">
        <v>0</v>
      </c>
      <c r="L140" s="37">
        <v>7862.44</v>
      </c>
      <c r="M140" s="37">
        <v>0</v>
      </c>
    </row>
    <row r="141" spans="1:14" s="10" customFormat="1" ht="30" customHeight="1" x14ac:dyDescent="0.25">
      <c r="A141" s="103" t="s">
        <v>182</v>
      </c>
      <c r="B141" s="104" t="s">
        <v>162</v>
      </c>
      <c r="C141" s="103" t="s">
        <v>258</v>
      </c>
      <c r="D141" s="59" t="s">
        <v>29</v>
      </c>
      <c r="E141" s="103" t="s">
        <v>10</v>
      </c>
      <c r="F141" s="103" t="s">
        <v>11</v>
      </c>
      <c r="G141" s="103" t="s">
        <v>14</v>
      </c>
      <c r="H141" s="107">
        <f>I141+K141+L141+M141</f>
        <v>111091.43</v>
      </c>
      <c r="I141" s="107">
        <f>51940.36+59130.07</f>
        <v>111070.43</v>
      </c>
      <c r="J141" s="39" t="s">
        <v>6</v>
      </c>
      <c r="K141" s="28">
        <f>K142</f>
        <v>21</v>
      </c>
      <c r="L141" s="28">
        <f>L142</f>
        <v>0</v>
      </c>
      <c r="M141" s="28">
        <f>M142</f>
        <v>0</v>
      </c>
    </row>
    <row r="142" spans="1:14" s="10" customFormat="1" ht="33.75" customHeight="1" x14ac:dyDescent="0.25">
      <c r="A142" s="103"/>
      <c r="B142" s="104"/>
      <c r="C142" s="103"/>
      <c r="D142" s="59" t="s">
        <v>16</v>
      </c>
      <c r="E142" s="103"/>
      <c r="F142" s="103"/>
      <c r="G142" s="103"/>
      <c r="H142" s="107"/>
      <c r="I142" s="107"/>
      <c r="J142" s="39" t="s">
        <v>8</v>
      </c>
      <c r="K142" s="100">
        <f>8.77+12.23</f>
        <v>21</v>
      </c>
      <c r="L142" s="61">
        <v>0</v>
      </c>
      <c r="M142" s="61">
        <v>0</v>
      </c>
      <c r="N142" s="11"/>
    </row>
    <row r="143" spans="1:14" s="10" customFormat="1" ht="15.75" customHeight="1" x14ac:dyDescent="0.25">
      <c r="A143" s="114" t="s">
        <v>189</v>
      </c>
      <c r="B143" s="111" t="s">
        <v>163</v>
      </c>
      <c r="C143" s="114" t="s">
        <v>259</v>
      </c>
      <c r="D143" s="59" t="s">
        <v>29</v>
      </c>
      <c r="E143" s="114" t="s">
        <v>10</v>
      </c>
      <c r="F143" s="103" t="s">
        <v>11</v>
      </c>
      <c r="G143" s="103" t="s">
        <v>18</v>
      </c>
      <c r="H143" s="107">
        <f>I143+K143+L143+M143</f>
        <v>188072.27000000002</v>
      </c>
      <c r="I143" s="107">
        <f>74445.97+80803</f>
        <v>155248.97</v>
      </c>
      <c r="J143" s="58" t="s">
        <v>6</v>
      </c>
      <c r="K143" s="61">
        <f>K144</f>
        <v>32823.300000000003</v>
      </c>
      <c r="L143" s="61">
        <f>L144</f>
        <v>0</v>
      </c>
      <c r="M143" s="61">
        <f>M144</f>
        <v>0</v>
      </c>
    </row>
    <row r="144" spans="1:14" s="10" customFormat="1" ht="30.75" customHeight="1" x14ac:dyDescent="0.25">
      <c r="A144" s="122"/>
      <c r="B144" s="112"/>
      <c r="C144" s="122"/>
      <c r="D144" s="59" t="s">
        <v>16</v>
      </c>
      <c r="E144" s="122"/>
      <c r="F144" s="103"/>
      <c r="G144" s="103"/>
      <c r="H144" s="107"/>
      <c r="I144" s="107"/>
      <c r="J144" s="39" t="s">
        <v>8</v>
      </c>
      <c r="K144" s="84">
        <v>32823.300000000003</v>
      </c>
      <c r="L144" s="61">
        <v>0</v>
      </c>
      <c r="M144" s="61">
        <v>0</v>
      </c>
    </row>
    <row r="145" spans="1:13" s="1" customFormat="1" ht="45.75" customHeight="1" x14ac:dyDescent="0.25">
      <c r="A145" s="122"/>
      <c r="B145" s="112"/>
      <c r="C145" s="122"/>
      <c r="D145" s="108" t="s">
        <v>116</v>
      </c>
      <c r="E145" s="122"/>
      <c r="F145" s="114" t="s">
        <v>117</v>
      </c>
      <c r="G145" s="108">
        <v>2024</v>
      </c>
      <c r="H145" s="116">
        <f>I145+K145+L145+M145</f>
        <v>3292.34</v>
      </c>
      <c r="I145" s="138">
        <v>0</v>
      </c>
      <c r="J145" s="38" t="s">
        <v>6</v>
      </c>
      <c r="K145" s="85">
        <f>K146</f>
        <v>3292.34</v>
      </c>
      <c r="L145" s="86">
        <f t="shared" ref="L145:M145" si="46">L146</f>
        <v>0</v>
      </c>
      <c r="M145" s="86">
        <f t="shared" si="46"/>
        <v>0</v>
      </c>
    </row>
    <row r="146" spans="1:13" s="1" customFormat="1" ht="15.75" x14ac:dyDescent="0.25">
      <c r="A146" s="115"/>
      <c r="B146" s="113"/>
      <c r="C146" s="115"/>
      <c r="D146" s="110"/>
      <c r="E146" s="115"/>
      <c r="F146" s="115"/>
      <c r="G146" s="110"/>
      <c r="H146" s="110"/>
      <c r="I146" s="139"/>
      <c r="J146" s="38" t="s">
        <v>8</v>
      </c>
      <c r="K146" s="90">
        <v>3292.34</v>
      </c>
      <c r="L146" s="85">
        <v>0</v>
      </c>
      <c r="M146" s="85">
        <v>0</v>
      </c>
    </row>
    <row r="147" spans="1:13" s="1" customFormat="1" ht="15" customHeight="1" x14ac:dyDescent="0.25">
      <c r="A147" s="108" t="s">
        <v>226</v>
      </c>
      <c r="B147" s="125" t="s">
        <v>54</v>
      </c>
      <c r="C147" s="114" t="s">
        <v>260</v>
      </c>
      <c r="D147" s="108" t="s">
        <v>29</v>
      </c>
      <c r="E147" s="108" t="s">
        <v>10</v>
      </c>
      <c r="F147" s="103" t="s">
        <v>19</v>
      </c>
      <c r="G147" s="105" t="s">
        <v>14</v>
      </c>
      <c r="H147" s="106">
        <f>I147+K147+L147+M147</f>
        <v>20223.100000000002</v>
      </c>
      <c r="I147" s="107">
        <v>0</v>
      </c>
      <c r="J147" s="38" t="s">
        <v>6</v>
      </c>
      <c r="K147" s="37">
        <f t="shared" ref="K147:L147" si="47">K149</f>
        <v>20223.100000000002</v>
      </c>
      <c r="L147" s="37">
        <f t="shared" si="47"/>
        <v>0</v>
      </c>
      <c r="M147" s="37">
        <f t="shared" ref="M147" si="48">M149</f>
        <v>0</v>
      </c>
    </row>
    <row r="148" spans="1:13" s="1" customFormat="1" ht="15" customHeight="1" x14ac:dyDescent="0.25">
      <c r="A148" s="109"/>
      <c r="B148" s="126"/>
      <c r="C148" s="122"/>
      <c r="D148" s="109"/>
      <c r="E148" s="109"/>
      <c r="F148" s="103"/>
      <c r="G148" s="105"/>
      <c r="H148" s="106"/>
      <c r="I148" s="107"/>
      <c r="J148" s="38" t="s">
        <v>7</v>
      </c>
      <c r="K148" s="37">
        <v>0</v>
      </c>
      <c r="L148" s="37">
        <v>0</v>
      </c>
      <c r="M148" s="37">
        <v>0</v>
      </c>
    </row>
    <row r="149" spans="1:13" s="1" customFormat="1" ht="22.5" customHeight="1" x14ac:dyDescent="0.25">
      <c r="A149" s="109"/>
      <c r="B149" s="126"/>
      <c r="C149" s="122"/>
      <c r="D149" s="110"/>
      <c r="E149" s="109"/>
      <c r="F149" s="103"/>
      <c r="G149" s="105"/>
      <c r="H149" s="105"/>
      <c r="I149" s="107"/>
      <c r="J149" s="38" t="s">
        <v>8</v>
      </c>
      <c r="K149" s="84">
        <f>19718.99+504.11</f>
        <v>20223.100000000002</v>
      </c>
      <c r="L149" s="37">
        <v>0</v>
      </c>
      <c r="M149" s="37">
        <v>0</v>
      </c>
    </row>
    <row r="150" spans="1:13" s="1" customFormat="1" ht="15" customHeight="1" x14ac:dyDescent="0.25">
      <c r="A150" s="109"/>
      <c r="B150" s="126"/>
      <c r="C150" s="122"/>
      <c r="D150" s="108" t="s">
        <v>16</v>
      </c>
      <c r="E150" s="109"/>
      <c r="F150" s="103" t="s">
        <v>11</v>
      </c>
      <c r="G150" s="105" t="s">
        <v>137</v>
      </c>
      <c r="H150" s="106">
        <f>I150+K150+L150+M150</f>
        <v>7010.12</v>
      </c>
      <c r="I150" s="107">
        <v>114.47</v>
      </c>
      <c r="J150" s="38" t="s">
        <v>6</v>
      </c>
      <c r="K150" s="62">
        <f t="shared" ref="K150:M150" si="49">K152</f>
        <v>1857.3000000000002</v>
      </c>
      <c r="L150" s="62">
        <f t="shared" si="49"/>
        <v>2238.35</v>
      </c>
      <c r="M150" s="62">
        <f t="shared" si="49"/>
        <v>2800</v>
      </c>
    </row>
    <row r="151" spans="1:13" s="1" customFormat="1" ht="15" customHeight="1" x14ac:dyDescent="0.25">
      <c r="A151" s="109"/>
      <c r="B151" s="126"/>
      <c r="C151" s="122"/>
      <c r="D151" s="109"/>
      <c r="E151" s="109"/>
      <c r="F151" s="103"/>
      <c r="G151" s="105"/>
      <c r="H151" s="106"/>
      <c r="I151" s="107"/>
      <c r="J151" s="38" t="s">
        <v>7</v>
      </c>
      <c r="K151" s="62">
        <v>0</v>
      </c>
      <c r="L151" s="62">
        <v>0</v>
      </c>
      <c r="M151" s="62">
        <v>0</v>
      </c>
    </row>
    <row r="152" spans="1:13" s="1" customFormat="1" ht="22.5" customHeight="1" x14ac:dyDescent="0.25">
      <c r="A152" s="110"/>
      <c r="B152" s="127"/>
      <c r="C152" s="115"/>
      <c r="D152" s="110"/>
      <c r="E152" s="110"/>
      <c r="F152" s="103"/>
      <c r="G152" s="105"/>
      <c r="H152" s="105"/>
      <c r="I152" s="107"/>
      <c r="J152" s="38" t="s">
        <v>8</v>
      </c>
      <c r="K152" s="99">
        <f>25.92+1831.38</f>
        <v>1857.3000000000002</v>
      </c>
      <c r="L152" s="99">
        <f>1200+1038.35</f>
        <v>2238.35</v>
      </c>
      <c r="M152" s="62">
        <v>2800</v>
      </c>
    </row>
    <row r="153" spans="1:13" s="1" customFormat="1" ht="15" customHeight="1" x14ac:dyDescent="0.25">
      <c r="A153" s="105" t="s">
        <v>212</v>
      </c>
      <c r="B153" s="104" t="s">
        <v>179</v>
      </c>
      <c r="C153" s="105" t="s">
        <v>261</v>
      </c>
      <c r="D153" s="35" t="s">
        <v>29</v>
      </c>
      <c r="E153" s="105" t="s">
        <v>10</v>
      </c>
      <c r="F153" s="103" t="s">
        <v>11</v>
      </c>
      <c r="G153" s="105">
        <v>2026</v>
      </c>
      <c r="H153" s="106">
        <f>I153+K153+L153+M153</f>
        <v>688.15</v>
      </c>
      <c r="I153" s="107">
        <v>0</v>
      </c>
      <c r="J153" s="38" t="s">
        <v>6</v>
      </c>
      <c r="K153" s="37">
        <f t="shared" ref="K153:M153" si="50">K155</f>
        <v>0</v>
      </c>
      <c r="L153" s="37">
        <f t="shared" si="50"/>
        <v>0</v>
      </c>
      <c r="M153" s="37">
        <f t="shared" si="50"/>
        <v>688.15</v>
      </c>
    </row>
    <row r="154" spans="1:13" s="1" customFormat="1" ht="15" customHeight="1" x14ac:dyDescent="0.25">
      <c r="A154" s="105"/>
      <c r="B154" s="104"/>
      <c r="C154" s="105"/>
      <c r="D154" s="105" t="s">
        <v>16</v>
      </c>
      <c r="E154" s="105"/>
      <c r="F154" s="103"/>
      <c r="G154" s="105"/>
      <c r="H154" s="106"/>
      <c r="I154" s="107"/>
      <c r="J154" s="38" t="s">
        <v>7</v>
      </c>
      <c r="K154" s="37">
        <v>0</v>
      </c>
      <c r="L154" s="37">
        <v>0</v>
      </c>
      <c r="M154" s="37">
        <v>0</v>
      </c>
    </row>
    <row r="155" spans="1:13" s="1" customFormat="1" ht="22.5" customHeight="1" x14ac:dyDescent="0.25">
      <c r="A155" s="105"/>
      <c r="B155" s="104"/>
      <c r="C155" s="105"/>
      <c r="D155" s="105"/>
      <c r="E155" s="105"/>
      <c r="F155" s="103"/>
      <c r="G155" s="105"/>
      <c r="H155" s="105"/>
      <c r="I155" s="107"/>
      <c r="J155" s="38" t="s">
        <v>8</v>
      </c>
      <c r="K155" s="99">
        <v>0</v>
      </c>
      <c r="L155" s="99">
        <v>0</v>
      </c>
      <c r="M155" s="37">
        <v>688.15</v>
      </c>
    </row>
    <row r="156" spans="1:13" s="1" customFormat="1" ht="15" customHeight="1" x14ac:dyDescent="0.25">
      <c r="A156" s="108" t="s">
        <v>213</v>
      </c>
      <c r="B156" s="125" t="s">
        <v>61</v>
      </c>
      <c r="C156" s="108" t="s">
        <v>262</v>
      </c>
      <c r="D156" s="35" t="s">
        <v>29</v>
      </c>
      <c r="E156" s="108" t="s">
        <v>10</v>
      </c>
      <c r="F156" s="103" t="s">
        <v>19</v>
      </c>
      <c r="G156" s="105" t="s">
        <v>40</v>
      </c>
      <c r="H156" s="106">
        <f>I156+K156+L156+M156</f>
        <v>13555.56</v>
      </c>
      <c r="I156" s="107">
        <v>44.55</v>
      </c>
      <c r="J156" s="12" t="s">
        <v>6</v>
      </c>
      <c r="K156" s="37">
        <f t="shared" ref="K156:K158" si="51">K157</f>
        <v>13511.01</v>
      </c>
      <c r="L156" s="37">
        <f>L157</f>
        <v>0</v>
      </c>
      <c r="M156" s="37">
        <f>M157</f>
        <v>0</v>
      </c>
    </row>
    <row r="157" spans="1:13" s="1" customFormat="1" ht="34.5" customHeight="1" x14ac:dyDescent="0.25">
      <c r="A157" s="109"/>
      <c r="B157" s="126"/>
      <c r="C157" s="109"/>
      <c r="D157" s="108" t="s">
        <v>16</v>
      </c>
      <c r="E157" s="109"/>
      <c r="F157" s="103"/>
      <c r="G157" s="105"/>
      <c r="H157" s="105"/>
      <c r="I157" s="107"/>
      <c r="J157" s="34" t="s">
        <v>8</v>
      </c>
      <c r="K157" s="37">
        <v>13511.01</v>
      </c>
      <c r="L157" s="36">
        <v>0</v>
      </c>
      <c r="M157" s="37">
        <v>0</v>
      </c>
    </row>
    <row r="158" spans="1:13" s="1" customFormat="1" ht="20.25" customHeight="1" x14ac:dyDescent="0.25">
      <c r="A158" s="109"/>
      <c r="B158" s="126"/>
      <c r="C158" s="109"/>
      <c r="D158" s="109"/>
      <c r="E158" s="109"/>
      <c r="F158" s="114" t="s">
        <v>11</v>
      </c>
      <c r="G158" s="108">
        <v>2025</v>
      </c>
      <c r="H158" s="106">
        <f>I158+K158+L158+M158</f>
        <v>2500</v>
      </c>
      <c r="I158" s="138">
        <v>0</v>
      </c>
      <c r="J158" s="12" t="s">
        <v>6</v>
      </c>
      <c r="K158" s="79">
        <f t="shared" si="51"/>
        <v>0</v>
      </c>
      <c r="L158" s="79">
        <f>L159</f>
        <v>2500</v>
      </c>
      <c r="M158" s="79">
        <f>M159</f>
        <v>0</v>
      </c>
    </row>
    <row r="159" spans="1:13" s="1" customFormat="1" ht="20.25" customHeight="1" x14ac:dyDescent="0.25">
      <c r="A159" s="110"/>
      <c r="B159" s="127"/>
      <c r="C159" s="110"/>
      <c r="D159" s="110"/>
      <c r="E159" s="110"/>
      <c r="F159" s="115"/>
      <c r="G159" s="110"/>
      <c r="H159" s="105"/>
      <c r="I159" s="139"/>
      <c r="J159" s="77" t="s">
        <v>8</v>
      </c>
      <c r="K159" s="79">
        <v>0</v>
      </c>
      <c r="L159" s="78">
        <v>2500</v>
      </c>
      <c r="M159" s="79">
        <v>0</v>
      </c>
    </row>
    <row r="160" spans="1:13" s="10" customFormat="1" ht="15" customHeight="1" x14ac:dyDescent="0.25">
      <c r="A160" s="114" t="s">
        <v>227</v>
      </c>
      <c r="B160" s="111" t="s">
        <v>73</v>
      </c>
      <c r="C160" s="114" t="s">
        <v>263</v>
      </c>
      <c r="D160" s="30" t="s">
        <v>29</v>
      </c>
      <c r="E160" s="114" t="s">
        <v>10</v>
      </c>
      <c r="F160" s="103" t="s">
        <v>19</v>
      </c>
      <c r="G160" s="103">
        <v>2025</v>
      </c>
      <c r="H160" s="107">
        <f>I160+K160+L160+M160</f>
        <v>50970.91</v>
      </c>
      <c r="I160" s="107">
        <v>0</v>
      </c>
      <c r="J160" s="15" t="s">
        <v>6</v>
      </c>
      <c r="K160" s="36">
        <f>K162</f>
        <v>0</v>
      </c>
      <c r="L160" s="36">
        <f>L162</f>
        <v>50970.91</v>
      </c>
      <c r="M160" s="36">
        <f>M162</f>
        <v>0</v>
      </c>
    </row>
    <row r="161" spans="1:14" s="10" customFormat="1" ht="15" customHeight="1" x14ac:dyDescent="0.25">
      <c r="A161" s="122"/>
      <c r="B161" s="112"/>
      <c r="C161" s="122"/>
      <c r="D161" s="114" t="s">
        <v>16</v>
      </c>
      <c r="E161" s="122"/>
      <c r="F161" s="103"/>
      <c r="G161" s="103"/>
      <c r="H161" s="107"/>
      <c r="I161" s="107"/>
      <c r="J161" s="15" t="s">
        <v>7</v>
      </c>
      <c r="K161" s="36">
        <v>0</v>
      </c>
      <c r="L161" s="36">
        <v>0</v>
      </c>
      <c r="M161" s="36">
        <v>0</v>
      </c>
    </row>
    <row r="162" spans="1:14" s="10" customFormat="1" ht="21.75" customHeight="1" x14ac:dyDescent="0.25">
      <c r="A162" s="122"/>
      <c r="B162" s="112"/>
      <c r="C162" s="122"/>
      <c r="D162" s="122"/>
      <c r="E162" s="122"/>
      <c r="F162" s="103"/>
      <c r="G162" s="103"/>
      <c r="H162" s="103"/>
      <c r="I162" s="107"/>
      <c r="J162" s="31" t="s">
        <v>8</v>
      </c>
      <c r="K162" s="36">
        <v>0</v>
      </c>
      <c r="L162" s="36">
        <v>50970.91</v>
      </c>
      <c r="M162" s="36">
        <v>0</v>
      </c>
    </row>
    <row r="163" spans="1:14" s="1" customFormat="1" ht="17.25" customHeight="1" x14ac:dyDescent="0.25">
      <c r="A163" s="122"/>
      <c r="B163" s="112"/>
      <c r="C163" s="122"/>
      <c r="D163" s="122"/>
      <c r="E163" s="122"/>
      <c r="F163" s="114" t="s">
        <v>15</v>
      </c>
      <c r="G163" s="108">
        <v>2026</v>
      </c>
      <c r="H163" s="106">
        <f>I163+K163+L163+M163</f>
        <v>1840.62</v>
      </c>
      <c r="I163" s="138">
        <v>0</v>
      </c>
      <c r="J163" s="12" t="s">
        <v>6</v>
      </c>
      <c r="K163" s="79">
        <f t="shared" ref="K163" si="52">K164</f>
        <v>0</v>
      </c>
      <c r="L163" s="79">
        <f>L164</f>
        <v>0</v>
      </c>
      <c r="M163" s="79">
        <f>M164</f>
        <v>1840.62</v>
      </c>
    </row>
    <row r="164" spans="1:14" s="1" customFormat="1" ht="16.5" customHeight="1" x14ac:dyDescent="0.25">
      <c r="A164" s="115"/>
      <c r="B164" s="113"/>
      <c r="C164" s="115"/>
      <c r="D164" s="115"/>
      <c r="E164" s="115"/>
      <c r="F164" s="115"/>
      <c r="G164" s="110"/>
      <c r="H164" s="105"/>
      <c r="I164" s="139"/>
      <c r="J164" s="77" t="s">
        <v>8</v>
      </c>
      <c r="K164" s="79">
        <v>0</v>
      </c>
      <c r="L164" s="78">
        <v>0</v>
      </c>
      <c r="M164" s="79">
        <v>1840.62</v>
      </c>
    </row>
    <row r="165" spans="1:14" s="1" customFormat="1" ht="15.75" customHeight="1" x14ac:dyDescent="0.25">
      <c r="A165" s="105" t="s">
        <v>138</v>
      </c>
      <c r="B165" s="123" t="s">
        <v>164</v>
      </c>
      <c r="C165" s="105" t="s">
        <v>264</v>
      </c>
      <c r="D165" s="105" t="s">
        <v>29</v>
      </c>
      <c r="E165" s="105" t="s">
        <v>10</v>
      </c>
      <c r="F165" s="103" t="s">
        <v>11</v>
      </c>
      <c r="G165" s="105" t="s">
        <v>18</v>
      </c>
      <c r="H165" s="106">
        <f>I165+K165+L165+M165</f>
        <v>92547.19</v>
      </c>
      <c r="I165" s="107">
        <f>558.25+15090.61+48295.13</f>
        <v>63943.99</v>
      </c>
      <c r="J165" s="38" t="s">
        <v>6</v>
      </c>
      <c r="K165" s="62">
        <f>K166+K167</f>
        <v>28603.199999999997</v>
      </c>
      <c r="L165" s="61">
        <f t="shared" ref="L165:M165" si="53">L166+L167</f>
        <v>0</v>
      </c>
      <c r="M165" s="61">
        <f t="shared" si="53"/>
        <v>0</v>
      </c>
    </row>
    <row r="166" spans="1:14" s="1" customFormat="1" ht="15.75" x14ac:dyDescent="0.25">
      <c r="A166" s="105"/>
      <c r="B166" s="123"/>
      <c r="C166" s="105"/>
      <c r="D166" s="105"/>
      <c r="E166" s="105"/>
      <c r="F166" s="103"/>
      <c r="G166" s="105"/>
      <c r="H166" s="105"/>
      <c r="I166" s="107"/>
      <c r="J166" s="38" t="s">
        <v>7</v>
      </c>
      <c r="K166" s="61">
        <v>27996.28</v>
      </c>
      <c r="L166" s="61">
        <v>0</v>
      </c>
      <c r="M166" s="61">
        <v>0</v>
      </c>
    </row>
    <row r="167" spans="1:14" s="1" customFormat="1" ht="33.75" customHeight="1" x14ac:dyDescent="0.25">
      <c r="A167" s="105"/>
      <c r="B167" s="123"/>
      <c r="C167" s="105"/>
      <c r="D167" s="57" t="s">
        <v>16</v>
      </c>
      <c r="E167" s="105"/>
      <c r="F167" s="103"/>
      <c r="G167" s="105"/>
      <c r="H167" s="105"/>
      <c r="I167" s="107"/>
      <c r="J167" s="38" t="s">
        <v>8</v>
      </c>
      <c r="K167" s="99">
        <v>606.91999999999996</v>
      </c>
      <c r="L167" s="61">
        <v>0</v>
      </c>
      <c r="M167" s="61">
        <v>0</v>
      </c>
    </row>
    <row r="168" spans="1:14" s="1" customFormat="1" ht="15.75" customHeight="1" x14ac:dyDescent="0.25">
      <c r="A168" s="105" t="s">
        <v>214</v>
      </c>
      <c r="B168" s="123" t="s">
        <v>67</v>
      </c>
      <c r="C168" s="105" t="s">
        <v>264</v>
      </c>
      <c r="D168" s="105" t="s">
        <v>29</v>
      </c>
      <c r="E168" s="105" t="s">
        <v>10</v>
      </c>
      <c r="F168" s="103" t="s">
        <v>11</v>
      </c>
      <c r="G168" s="105">
        <v>2025</v>
      </c>
      <c r="H168" s="106">
        <f>I168+K168+L168+M168</f>
        <v>482.69</v>
      </c>
      <c r="I168" s="107">
        <v>0</v>
      </c>
      <c r="J168" s="38" t="s">
        <v>6</v>
      </c>
      <c r="K168" s="37">
        <f t="shared" ref="K168:M168" si="54">K169+K170</f>
        <v>0</v>
      </c>
      <c r="L168" s="36">
        <f t="shared" si="54"/>
        <v>482.69</v>
      </c>
      <c r="M168" s="36">
        <f t="shared" si="54"/>
        <v>0</v>
      </c>
    </row>
    <row r="169" spans="1:14" s="1" customFormat="1" ht="15.75" x14ac:dyDescent="0.25">
      <c r="A169" s="105"/>
      <c r="B169" s="123"/>
      <c r="C169" s="105"/>
      <c r="D169" s="105"/>
      <c r="E169" s="105"/>
      <c r="F169" s="103"/>
      <c r="G169" s="105"/>
      <c r="H169" s="105"/>
      <c r="I169" s="107"/>
      <c r="J169" s="38" t="s">
        <v>7</v>
      </c>
      <c r="K169" s="84">
        <v>0</v>
      </c>
      <c r="L169" s="36">
        <v>0</v>
      </c>
      <c r="M169" s="36">
        <v>0</v>
      </c>
    </row>
    <row r="170" spans="1:14" s="1" customFormat="1" ht="33.75" customHeight="1" x14ac:dyDescent="0.25">
      <c r="A170" s="105"/>
      <c r="B170" s="123"/>
      <c r="C170" s="105"/>
      <c r="D170" s="35" t="s">
        <v>16</v>
      </c>
      <c r="E170" s="105"/>
      <c r="F170" s="103"/>
      <c r="G170" s="105"/>
      <c r="H170" s="105"/>
      <c r="I170" s="107"/>
      <c r="J170" s="38" t="s">
        <v>8</v>
      </c>
      <c r="K170" s="36">
        <v>0</v>
      </c>
      <c r="L170" s="36">
        <v>482.69</v>
      </c>
      <c r="M170" s="36">
        <v>0</v>
      </c>
    </row>
    <row r="171" spans="1:14" s="10" customFormat="1" ht="15.75" customHeight="1" x14ac:dyDescent="0.25">
      <c r="A171" s="114" t="s">
        <v>215</v>
      </c>
      <c r="B171" s="111" t="s">
        <v>166</v>
      </c>
      <c r="C171" s="114" t="s">
        <v>265</v>
      </c>
      <c r="D171" s="74" t="s">
        <v>29</v>
      </c>
      <c r="E171" s="114" t="s">
        <v>10</v>
      </c>
      <c r="F171" s="103" t="s">
        <v>19</v>
      </c>
      <c r="G171" s="103" t="s">
        <v>58</v>
      </c>
      <c r="H171" s="107">
        <f>I171+K171+L171+M171</f>
        <v>8208.75</v>
      </c>
      <c r="I171" s="107">
        <v>0</v>
      </c>
      <c r="J171" s="80" t="s">
        <v>6</v>
      </c>
      <c r="K171" s="78">
        <f>K172+K173</f>
        <v>8208.75</v>
      </c>
      <c r="L171" s="78">
        <f t="shared" ref="L171:M171" si="55">L172+L173</f>
        <v>0</v>
      </c>
      <c r="M171" s="78">
        <f t="shared" si="55"/>
        <v>0</v>
      </c>
      <c r="N171" s="21"/>
    </row>
    <row r="172" spans="1:14" s="10" customFormat="1" ht="15.75" x14ac:dyDescent="0.25">
      <c r="A172" s="122"/>
      <c r="B172" s="112"/>
      <c r="C172" s="122"/>
      <c r="D172" s="114" t="s">
        <v>16</v>
      </c>
      <c r="E172" s="122"/>
      <c r="F172" s="103"/>
      <c r="G172" s="103"/>
      <c r="H172" s="103"/>
      <c r="I172" s="107"/>
      <c r="J172" s="80" t="s">
        <v>7</v>
      </c>
      <c r="K172" s="78">
        <v>8126.66</v>
      </c>
      <c r="L172" s="78">
        <v>0</v>
      </c>
      <c r="M172" s="78">
        <v>0</v>
      </c>
      <c r="N172" s="21"/>
    </row>
    <row r="173" spans="1:14" s="10" customFormat="1" ht="15.75" x14ac:dyDescent="0.25">
      <c r="A173" s="122"/>
      <c r="B173" s="112"/>
      <c r="C173" s="122"/>
      <c r="D173" s="122"/>
      <c r="E173" s="122"/>
      <c r="F173" s="103"/>
      <c r="G173" s="103"/>
      <c r="H173" s="103"/>
      <c r="I173" s="107"/>
      <c r="J173" s="80" t="s">
        <v>8</v>
      </c>
      <c r="K173" s="78">
        <v>82.09</v>
      </c>
      <c r="L173" s="78">
        <v>0</v>
      </c>
      <c r="M173" s="78">
        <v>0</v>
      </c>
      <c r="N173" s="21"/>
    </row>
    <row r="174" spans="1:14" s="1" customFormat="1" ht="17.25" customHeight="1" x14ac:dyDescent="0.25">
      <c r="A174" s="122"/>
      <c r="B174" s="112"/>
      <c r="C174" s="122"/>
      <c r="D174" s="122"/>
      <c r="E174" s="122"/>
      <c r="F174" s="114" t="s">
        <v>11</v>
      </c>
      <c r="G174" s="108">
        <v>2026</v>
      </c>
      <c r="H174" s="106">
        <f>I174+K174+L174+M174</f>
        <v>2550</v>
      </c>
      <c r="I174" s="138">
        <v>0</v>
      </c>
      <c r="J174" s="12" t="s">
        <v>6</v>
      </c>
      <c r="K174" s="79">
        <f t="shared" ref="K174" si="56">K175</f>
        <v>0</v>
      </c>
      <c r="L174" s="79">
        <f>L175</f>
        <v>0</v>
      </c>
      <c r="M174" s="79">
        <f>M175</f>
        <v>2550</v>
      </c>
    </row>
    <row r="175" spans="1:14" s="1" customFormat="1" ht="16.5" customHeight="1" x14ac:dyDescent="0.25">
      <c r="A175" s="115"/>
      <c r="B175" s="113"/>
      <c r="C175" s="115"/>
      <c r="D175" s="115"/>
      <c r="E175" s="115"/>
      <c r="F175" s="115"/>
      <c r="G175" s="110"/>
      <c r="H175" s="105"/>
      <c r="I175" s="139"/>
      <c r="J175" s="77" t="s">
        <v>8</v>
      </c>
      <c r="K175" s="79">
        <v>0</v>
      </c>
      <c r="L175" s="78">
        <v>0</v>
      </c>
      <c r="M175" s="79">
        <v>2550</v>
      </c>
    </row>
    <row r="176" spans="1:14" s="10" customFormat="1" ht="15.75" customHeight="1" x14ac:dyDescent="0.25">
      <c r="A176" s="122" t="s">
        <v>139</v>
      </c>
      <c r="B176" s="112" t="s">
        <v>52</v>
      </c>
      <c r="C176" s="122" t="s">
        <v>266</v>
      </c>
      <c r="D176" s="33" t="s">
        <v>29</v>
      </c>
      <c r="E176" s="122" t="s">
        <v>10</v>
      </c>
      <c r="F176" s="115" t="s">
        <v>11</v>
      </c>
      <c r="G176" s="115" t="s">
        <v>17</v>
      </c>
      <c r="H176" s="119">
        <f>I176+K176+L176+M176</f>
        <v>121200.89</v>
      </c>
      <c r="I176" s="119">
        <v>134</v>
      </c>
      <c r="J176" s="81" t="s">
        <v>6</v>
      </c>
      <c r="K176" s="82">
        <f>K177+K178</f>
        <v>50505.05</v>
      </c>
      <c r="L176" s="82">
        <f>L177+L178</f>
        <v>70561.84</v>
      </c>
      <c r="M176" s="82">
        <f>M177+M178</f>
        <v>0</v>
      </c>
    </row>
    <row r="177" spans="1:14" s="10" customFormat="1" ht="15.75" x14ac:dyDescent="0.25">
      <c r="A177" s="122"/>
      <c r="B177" s="112"/>
      <c r="C177" s="122"/>
      <c r="D177" s="114" t="s">
        <v>16</v>
      </c>
      <c r="E177" s="122"/>
      <c r="F177" s="103"/>
      <c r="G177" s="103"/>
      <c r="H177" s="107"/>
      <c r="I177" s="107"/>
      <c r="J177" s="39" t="s">
        <v>7</v>
      </c>
      <c r="K177" s="36">
        <v>50000</v>
      </c>
      <c r="L177" s="36">
        <v>69856.22</v>
      </c>
      <c r="M177" s="36">
        <v>0</v>
      </c>
    </row>
    <row r="178" spans="1:14" s="10" customFormat="1" ht="15.75" x14ac:dyDescent="0.25">
      <c r="A178" s="115"/>
      <c r="B178" s="113"/>
      <c r="C178" s="115"/>
      <c r="D178" s="115"/>
      <c r="E178" s="115"/>
      <c r="F178" s="103"/>
      <c r="G178" s="103"/>
      <c r="H178" s="107"/>
      <c r="I178" s="107"/>
      <c r="J178" s="39" t="s">
        <v>8</v>
      </c>
      <c r="K178" s="36">
        <v>505.05</v>
      </c>
      <c r="L178" s="36">
        <v>705.62</v>
      </c>
      <c r="M178" s="36">
        <v>0</v>
      </c>
    </row>
    <row r="179" spans="1:14" s="10" customFormat="1" ht="15" hidden="1" customHeight="1" x14ac:dyDescent="0.25">
      <c r="A179" s="114" t="s">
        <v>165</v>
      </c>
      <c r="B179" s="111" t="s">
        <v>311</v>
      </c>
      <c r="C179" s="114" t="s">
        <v>267</v>
      </c>
      <c r="D179" s="114" t="s">
        <v>116</v>
      </c>
      <c r="E179" s="114" t="s">
        <v>10</v>
      </c>
      <c r="F179" s="114" t="s">
        <v>117</v>
      </c>
      <c r="G179" s="114" t="s">
        <v>125</v>
      </c>
      <c r="H179" s="118">
        <f>I179+K181+L181+M181+K179</f>
        <v>8973408.9399999995</v>
      </c>
      <c r="I179" s="118">
        <v>6509262.5</v>
      </c>
      <c r="J179" s="39" t="s">
        <v>6</v>
      </c>
      <c r="K179" s="36">
        <f>K180</f>
        <v>0</v>
      </c>
      <c r="L179" s="36">
        <f t="shared" ref="L179:M179" si="57">L180</f>
        <v>0</v>
      </c>
      <c r="M179" s="36">
        <f t="shared" si="57"/>
        <v>0</v>
      </c>
      <c r="N179" s="21"/>
    </row>
    <row r="180" spans="1:14" s="10" customFormat="1" ht="46.5" hidden="1" customHeight="1" x14ac:dyDescent="0.25">
      <c r="A180" s="122"/>
      <c r="B180" s="112"/>
      <c r="C180" s="122"/>
      <c r="D180" s="115"/>
      <c r="E180" s="122"/>
      <c r="F180" s="115"/>
      <c r="G180" s="122"/>
      <c r="H180" s="120"/>
      <c r="I180" s="120"/>
      <c r="J180" s="39" t="s">
        <v>7</v>
      </c>
      <c r="K180" s="36">
        <v>0</v>
      </c>
      <c r="L180" s="36">
        <v>0</v>
      </c>
      <c r="M180" s="36">
        <v>0</v>
      </c>
      <c r="N180" s="21"/>
    </row>
    <row r="181" spans="1:14" s="10" customFormat="1" ht="18" customHeight="1" x14ac:dyDescent="0.25">
      <c r="A181" s="122"/>
      <c r="B181" s="112"/>
      <c r="C181" s="122"/>
      <c r="D181" s="103" t="s">
        <v>29</v>
      </c>
      <c r="E181" s="122"/>
      <c r="F181" s="114" t="s">
        <v>15</v>
      </c>
      <c r="G181" s="122"/>
      <c r="H181" s="120"/>
      <c r="I181" s="120"/>
      <c r="J181" s="104" t="s">
        <v>6</v>
      </c>
      <c r="K181" s="132">
        <f>K183+K184</f>
        <v>309331.88999999996</v>
      </c>
      <c r="L181" s="132">
        <f t="shared" ref="L181:M181" si="58">L183+L184</f>
        <v>536511.49</v>
      </c>
      <c r="M181" s="132">
        <f t="shared" si="58"/>
        <v>1618303.06</v>
      </c>
    </row>
    <row r="182" spans="1:14" s="10" customFormat="1" ht="18" customHeight="1" x14ac:dyDescent="0.25">
      <c r="A182" s="122"/>
      <c r="B182" s="112"/>
      <c r="C182" s="122"/>
      <c r="D182" s="103"/>
      <c r="E182" s="122"/>
      <c r="F182" s="122"/>
      <c r="G182" s="122"/>
      <c r="H182" s="120"/>
      <c r="I182" s="120"/>
      <c r="J182" s="104"/>
      <c r="K182" s="132"/>
      <c r="L182" s="132"/>
      <c r="M182" s="132"/>
      <c r="N182" s="11"/>
    </row>
    <row r="183" spans="1:14" s="10" customFormat="1" ht="15.75" x14ac:dyDescent="0.25">
      <c r="A183" s="122"/>
      <c r="B183" s="112"/>
      <c r="C183" s="122"/>
      <c r="D183" s="114" t="s">
        <v>16</v>
      </c>
      <c r="E183" s="122"/>
      <c r="F183" s="122"/>
      <c r="G183" s="122"/>
      <c r="H183" s="120"/>
      <c r="I183" s="120"/>
      <c r="J183" s="39" t="s">
        <v>7</v>
      </c>
      <c r="K183" s="61">
        <v>309200.21999999997</v>
      </c>
      <c r="L183" s="61">
        <v>536457.84</v>
      </c>
      <c r="M183" s="84">
        <f>1334549.48+283591.77</f>
        <v>1618141.25</v>
      </c>
    </row>
    <row r="184" spans="1:14" s="10" customFormat="1" ht="27" customHeight="1" x14ac:dyDescent="0.25">
      <c r="A184" s="115"/>
      <c r="B184" s="113"/>
      <c r="C184" s="115"/>
      <c r="D184" s="115"/>
      <c r="E184" s="115"/>
      <c r="F184" s="115"/>
      <c r="G184" s="115"/>
      <c r="H184" s="119"/>
      <c r="I184" s="119"/>
      <c r="J184" s="39" t="s">
        <v>8</v>
      </c>
      <c r="K184" s="64">
        <v>131.66999999999999</v>
      </c>
      <c r="L184" s="64">
        <v>53.65</v>
      </c>
      <c r="M184" s="64">
        <v>161.81</v>
      </c>
    </row>
    <row r="185" spans="1:14" s="1" customFormat="1" ht="15.75" customHeight="1" x14ac:dyDescent="0.25">
      <c r="A185" s="105" t="s">
        <v>150</v>
      </c>
      <c r="B185" s="123" t="s">
        <v>216</v>
      </c>
      <c r="C185" s="103" t="s">
        <v>268</v>
      </c>
      <c r="D185" s="35" t="s">
        <v>29</v>
      </c>
      <c r="E185" s="105" t="s">
        <v>10</v>
      </c>
      <c r="F185" s="103" t="s">
        <v>11</v>
      </c>
      <c r="G185" s="105">
        <v>2026</v>
      </c>
      <c r="H185" s="106">
        <f>I185+K185+L185+M185</f>
        <v>48000</v>
      </c>
      <c r="I185" s="107">
        <v>0</v>
      </c>
      <c r="J185" s="38" t="s">
        <v>6</v>
      </c>
      <c r="K185" s="37">
        <f t="shared" ref="K185:L185" si="59">K186</f>
        <v>0</v>
      </c>
      <c r="L185" s="37">
        <f t="shared" si="59"/>
        <v>0</v>
      </c>
      <c r="M185" s="37">
        <f t="shared" ref="M185" si="60">M186</f>
        <v>48000</v>
      </c>
    </row>
    <row r="186" spans="1:14" s="1" customFormat="1" ht="39" customHeight="1" x14ac:dyDescent="0.25">
      <c r="A186" s="105"/>
      <c r="B186" s="123"/>
      <c r="C186" s="103"/>
      <c r="D186" s="35" t="s">
        <v>16</v>
      </c>
      <c r="E186" s="105"/>
      <c r="F186" s="103"/>
      <c r="G186" s="105"/>
      <c r="H186" s="105"/>
      <c r="I186" s="107"/>
      <c r="J186" s="38" t="s">
        <v>8</v>
      </c>
      <c r="K186" s="37">
        <v>0</v>
      </c>
      <c r="L186" s="37">
        <v>0</v>
      </c>
      <c r="M186" s="37">
        <v>48000</v>
      </c>
    </row>
    <row r="187" spans="1:14" s="10" customFormat="1" ht="14.25" customHeight="1" x14ac:dyDescent="0.25">
      <c r="A187" s="103" t="s">
        <v>167</v>
      </c>
      <c r="B187" s="104" t="s">
        <v>55</v>
      </c>
      <c r="C187" s="103" t="s">
        <v>269</v>
      </c>
      <c r="D187" s="88" t="s">
        <v>29</v>
      </c>
      <c r="E187" s="103" t="s">
        <v>10</v>
      </c>
      <c r="F187" s="103" t="s">
        <v>11</v>
      </c>
      <c r="G187" s="103" t="s">
        <v>101</v>
      </c>
      <c r="H187" s="107">
        <f>K187+L187+M187+I187</f>
        <v>209119.61000000002</v>
      </c>
      <c r="I187" s="107">
        <v>0</v>
      </c>
      <c r="J187" s="89" t="s">
        <v>6</v>
      </c>
      <c r="K187" s="90">
        <f>K188</f>
        <v>56452.22</v>
      </c>
      <c r="L187" s="90">
        <f>L188</f>
        <v>152667.39000000001</v>
      </c>
      <c r="M187" s="90">
        <f>M188</f>
        <v>0</v>
      </c>
    </row>
    <row r="188" spans="1:14" s="10" customFormat="1" ht="55.5" customHeight="1" x14ac:dyDescent="0.25">
      <c r="A188" s="103"/>
      <c r="B188" s="104"/>
      <c r="C188" s="103"/>
      <c r="D188" s="88" t="s">
        <v>16</v>
      </c>
      <c r="E188" s="103"/>
      <c r="F188" s="103"/>
      <c r="G188" s="103"/>
      <c r="H188" s="103"/>
      <c r="I188" s="107"/>
      <c r="J188" s="89" t="s">
        <v>8</v>
      </c>
      <c r="K188" s="99">
        <v>56452.22</v>
      </c>
      <c r="L188" s="99">
        <f>50869.58+105600-3802.19</f>
        <v>152667.39000000001</v>
      </c>
      <c r="M188" s="90">
        <v>0</v>
      </c>
    </row>
    <row r="189" spans="1:14" s="10" customFormat="1" ht="31.5" customHeight="1" x14ac:dyDescent="0.25">
      <c r="A189" s="114" t="s">
        <v>92</v>
      </c>
      <c r="B189" s="111" t="s">
        <v>312</v>
      </c>
      <c r="C189" s="114" t="s">
        <v>270</v>
      </c>
      <c r="D189" s="30" t="s">
        <v>29</v>
      </c>
      <c r="E189" s="114" t="s">
        <v>10</v>
      </c>
      <c r="F189" s="114" t="s">
        <v>19</v>
      </c>
      <c r="G189" s="114">
        <v>2025</v>
      </c>
      <c r="H189" s="118">
        <f>I189+K189+L189+M189</f>
        <v>33025</v>
      </c>
      <c r="I189" s="118">
        <v>0</v>
      </c>
      <c r="J189" s="39" t="s">
        <v>6</v>
      </c>
      <c r="K189" s="36">
        <f>K190+K191</f>
        <v>0</v>
      </c>
      <c r="L189" s="36">
        <f t="shared" ref="L189:M189" si="61">L190+L191</f>
        <v>33025</v>
      </c>
      <c r="M189" s="36">
        <f t="shared" si="61"/>
        <v>0</v>
      </c>
    </row>
    <row r="190" spans="1:14" s="10" customFormat="1" ht="16.5" customHeight="1" x14ac:dyDescent="0.25">
      <c r="A190" s="122"/>
      <c r="B190" s="112"/>
      <c r="C190" s="122"/>
      <c r="D190" s="114" t="s">
        <v>16</v>
      </c>
      <c r="E190" s="122"/>
      <c r="F190" s="122"/>
      <c r="G190" s="122"/>
      <c r="H190" s="120"/>
      <c r="I190" s="120"/>
      <c r="J190" s="31" t="s">
        <v>7</v>
      </c>
      <c r="K190" s="36">
        <v>0</v>
      </c>
      <c r="L190" s="36">
        <v>0</v>
      </c>
      <c r="M190" s="36">
        <v>0</v>
      </c>
    </row>
    <row r="191" spans="1:14" s="10" customFormat="1" ht="15.75" x14ac:dyDescent="0.25">
      <c r="A191" s="122"/>
      <c r="B191" s="112"/>
      <c r="C191" s="122"/>
      <c r="D191" s="122"/>
      <c r="E191" s="122"/>
      <c r="F191" s="115"/>
      <c r="G191" s="115"/>
      <c r="H191" s="119"/>
      <c r="I191" s="119"/>
      <c r="J191" s="39" t="s">
        <v>8</v>
      </c>
      <c r="K191" s="36">
        <v>0</v>
      </c>
      <c r="L191" s="36">
        <v>33025</v>
      </c>
      <c r="M191" s="36">
        <v>0</v>
      </c>
    </row>
    <row r="192" spans="1:14" s="1" customFormat="1" ht="17.25" customHeight="1" x14ac:dyDescent="0.25">
      <c r="A192" s="122"/>
      <c r="B192" s="112"/>
      <c r="C192" s="122"/>
      <c r="D192" s="122"/>
      <c r="E192" s="122"/>
      <c r="F192" s="114" t="s">
        <v>15</v>
      </c>
      <c r="G192" s="108">
        <v>2026</v>
      </c>
      <c r="H192" s="106">
        <f>I192+K192+L192+M192</f>
        <v>1782.52</v>
      </c>
      <c r="I192" s="138">
        <v>0</v>
      </c>
      <c r="J192" s="12" t="s">
        <v>6</v>
      </c>
      <c r="K192" s="79">
        <f t="shared" ref="K192" si="62">K193</f>
        <v>0</v>
      </c>
      <c r="L192" s="79">
        <f>L193</f>
        <v>0</v>
      </c>
      <c r="M192" s="79">
        <f>M193</f>
        <v>1782.52</v>
      </c>
    </row>
    <row r="193" spans="1:13" s="1" customFormat="1" ht="16.5" customHeight="1" x14ac:dyDescent="0.25">
      <c r="A193" s="115"/>
      <c r="B193" s="113"/>
      <c r="C193" s="115"/>
      <c r="D193" s="115"/>
      <c r="E193" s="115"/>
      <c r="F193" s="115"/>
      <c r="G193" s="110"/>
      <c r="H193" s="105"/>
      <c r="I193" s="139"/>
      <c r="J193" s="77" t="s">
        <v>8</v>
      </c>
      <c r="K193" s="79">
        <v>0</v>
      </c>
      <c r="L193" s="78">
        <v>0</v>
      </c>
      <c r="M193" s="79">
        <v>1782.52</v>
      </c>
    </row>
    <row r="194" spans="1:13" s="10" customFormat="1" ht="21.75" customHeight="1" x14ac:dyDescent="0.25">
      <c r="A194" s="114" t="s">
        <v>183</v>
      </c>
      <c r="B194" s="111" t="s">
        <v>313</v>
      </c>
      <c r="C194" s="114" t="s">
        <v>270</v>
      </c>
      <c r="D194" s="30" t="s">
        <v>29</v>
      </c>
      <c r="E194" s="114" t="s">
        <v>10</v>
      </c>
      <c r="F194" s="114" t="s">
        <v>19</v>
      </c>
      <c r="G194" s="114">
        <v>2024</v>
      </c>
      <c r="H194" s="118">
        <f>I194+K194+L194+M194</f>
        <v>15618.14</v>
      </c>
      <c r="I194" s="118">
        <v>0</v>
      </c>
      <c r="J194" s="39" t="s">
        <v>6</v>
      </c>
      <c r="K194" s="36">
        <f>K195+K196</f>
        <v>15618.14</v>
      </c>
      <c r="L194" s="36">
        <f t="shared" ref="L194:M194" si="63">L195+L196</f>
        <v>0</v>
      </c>
      <c r="M194" s="36">
        <f t="shared" si="63"/>
        <v>0</v>
      </c>
    </row>
    <row r="195" spans="1:13" s="10" customFormat="1" ht="16.5" customHeight="1" x14ac:dyDescent="0.25">
      <c r="A195" s="122"/>
      <c r="B195" s="112"/>
      <c r="C195" s="122"/>
      <c r="D195" s="114" t="s">
        <v>16</v>
      </c>
      <c r="E195" s="122"/>
      <c r="F195" s="122"/>
      <c r="G195" s="122"/>
      <c r="H195" s="120"/>
      <c r="I195" s="120"/>
      <c r="J195" s="31" t="s">
        <v>7</v>
      </c>
      <c r="K195" s="36">
        <v>0</v>
      </c>
      <c r="L195" s="36">
        <v>0</v>
      </c>
      <c r="M195" s="36">
        <v>0</v>
      </c>
    </row>
    <row r="196" spans="1:13" s="10" customFormat="1" ht="15.75" x14ac:dyDescent="0.25">
      <c r="A196" s="122"/>
      <c r="B196" s="112"/>
      <c r="C196" s="122"/>
      <c r="D196" s="122"/>
      <c r="E196" s="122"/>
      <c r="F196" s="115"/>
      <c r="G196" s="115"/>
      <c r="H196" s="119"/>
      <c r="I196" s="119"/>
      <c r="J196" s="39" t="s">
        <v>8</v>
      </c>
      <c r="K196" s="84">
        <f>16122.25-504.11</f>
        <v>15618.14</v>
      </c>
      <c r="L196" s="36">
        <v>0</v>
      </c>
      <c r="M196" s="36">
        <v>0</v>
      </c>
    </row>
    <row r="197" spans="1:13" s="1" customFormat="1" ht="17.25" customHeight="1" x14ac:dyDescent="0.25">
      <c r="A197" s="122"/>
      <c r="B197" s="112"/>
      <c r="C197" s="122"/>
      <c r="D197" s="122"/>
      <c r="E197" s="122"/>
      <c r="F197" s="114" t="s">
        <v>15</v>
      </c>
      <c r="G197" s="108" t="s">
        <v>133</v>
      </c>
      <c r="H197" s="106">
        <f>I197+K197+L197+M197</f>
        <v>3991</v>
      </c>
      <c r="I197" s="138">
        <v>0</v>
      </c>
      <c r="J197" s="12" t="s">
        <v>6</v>
      </c>
      <c r="K197" s="79">
        <f t="shared" ref="K197" si="64">K198</f>
        <v>0</v>
      </c>
      <c r="L197" s="79">
        <f>L198</f>
        <v>1948.73</v>
      </c>
      <c r="M197" s="79">
        <f>M198</f>
        <v>2042.27</v>
      </c>
    </row>
    <row r="198" spans="1:13" s="1" customFormat="1" ht="16.5" customHeight="1" x14ac:dyDescent="0.25">
      <c r="A198" s="115"/>
      <c r="B198" s="113"/>
      <c r="C198" s="115"/>
      <c r="D198" s="115"/>
      <c r="E198" s="115"/>
      <c r="F198" s="115"/>
      <c r="G198" s="110"/>
      <c r="H198" s="105"/>
      <c r="I198" s="139"/>
      <c r="J198" s="77" t="s">
        <v>8</v>
      </c>
      <c r="K198" s="79">
        <v>0</v>
      </c>
      <c r="L198" s="78">
        <v>1948.73</v>
      </c>
      <c r="M198" s="79">
        <v>2042.27</v>
      </c>
    </row>
    <row r="199" spans="1:13" s="10" customFormat="1" ht="31.5" customHeight="1" x14ac:dyDescent="0.25">
      <c r="A199" s="103" t="s">
        <v>103</v>
      </c>
      <c r="B199" s="104" t="s">
        <v>314</v>
      </c>
      <c r="C199" s="103" t="s">
        <v>271</v>
      </c>
      <c r="D199" s="30" t="s">
        <v>29</v>
      </c>
      <c r="E199" s="103" t="s">
        <v>10</v>
      </c>
      <c r="F199" s="114" t="s">
        <v>15</v>
      </c>
      <c r="G199" s="114" t="s">
        <v>223</v>
      </c>
      <c r="H199" s="118">
        <f>I199+K199+L199+M199</f>
        <v>420064.58</v>
      </c>
      <c r="I199" s="118">
        <v>197231.79</v>
      </c>
      <c r="J199" s="39" t="s">
        <v>6</v>
      </c>
      <c r="K199" s="36">
        <f>K200+K201</f>
        <v>222832.79</v>
      </c>
      <c r="L199" s="36">
        <f t="shared" ref="L199" si="65">L200+L201</f>
        <v>0</v>
      </c>
      <c r="M199" s="36">
        <f t="shared" ref="M199" si="66">M200+M201</f>
        <v>0</v>
      </c>
    </row>
    <row r="200" spans="1:13" s="10" customFormat="1" ht="16.5" customHeight="1" x14ac:dyDescent="0.25">
      <c r="A200" s="103"/>
      <c r="B200" s="104"/>
      <c r="C200" s="103"/>
      <c r="D200" s="103" t="s">
        <v>16</v>
      </c>
      <c r="E200" s="103"/>
      <c r="F200" s="122"/>
      <c r="G200" s="122"/>
      <c r="H200" s="120"/>
      <c r="I200" s="120"/>
      <c r="J200" s="31" t="s">
        <v>7</v>
      </c>
      <c r="K200" s="61">
        <v>101010.59</v>
      </c>
      <c r="L200" s="36">
        <v>0</v>
      </c>
      <c r="M200" s="36">
        <v>0</v>
      </c>
    </row>
    <row r="201" spans="1:13" s="10" customFormat="1" ht="15.75" x14ac:dyDescent="0.25">
      <c r="A201" s="103"/>
      <c r="B201" s="104"/>
      <c r="C201" s="103"/>
      <c r="D201" s="103"/>
      <c r="E201" s="103"/>
      <c r="F201" s="115"/>
      <c r="G201" s="115"/>
      <c r="H201" s="119"/>
      <c r="I201" s="119"/>
      <c r="J201" s="39" t="s">
        <v>8</v>
      </c>
      <c r="K201" s="99">
        <f>97121.99+17215.95+7496.49-12.23</f>
        <v>121822.20000000001</v>
      </c>
      <c r="L201" s="36">
        <v>0</v>
      </c>
      <c r="M201" s="36">
        <v>0</v>
      </c>
    </row>
    <row r="202" spans="1:13" s="10" customFormat="1" ht="15" hidden="1" customHeight="1" x14ac:dyDescent="0.25">
      <c r="A202" s="103"/>
      <c r="B202" s="104" t="s">
        <v>69</v>
      </c>
      <c r="C202" s="103" t="s">
        <v>68</v>
      </c>
      <c r="D202" s="93" t="s">
        <v>29</v>
      </c>
      <c r="E202" s="103" t="s">
        <v>10</v>
      </c>
      <c r="F202" s="103" t="s">
        <v>19</v>
      </c>
      <c r="G202" s="103">
        <v>2026</v>
      </c>
      <c r="H202" s="107">
        <f>I202+K202+L202+M202</f>
        <v>0</v>
      </c>
      <c r="I202" s="107">
        <v>0</v>
      </c>
      <c r="J202" s="15" t="s">
        <v>6</v>
      </c>
      <c r="K202" s="95">
        <f>K204</f>
        <v>0</v>
      </c>
      <c r="L202" s="95">
        <f>L204</f>
        <v>0</v>
      </c>
      <c r="M202" s="95">
        <f>M204</f>
        <v>0</v>
      </c>
    </row>
    <row r="203" spans="1:13" s="10" customFormat="1" ht="15" hidden="1" customHeight="1" x14ac:dyDescent="0.25">
      <c r="A203" s="103"/>
      <c r="B203" s="104"/>
      <c r="C203" s="103"/>
      <c r="D203" s="103" t="s">
        <v>16</v>
      </c>
      <c r="E203" s="103"/>
      <c r="F203" s="103"/>
      <c r="G203" s="103"/>
      <c r="H203" s="107"/>
      <c r="I203" s="107"/>
      <c r="J203" s="15" t="s">
        <v>7</v>
      </c>
      <c r="K203" s="95">
        <v>0</v>
      </c>
      <c r="L203" s="95">
        <v>0</v>
      </c>
      <c r="M203" s="95">
        <v>0</v>
      </c>
    </row>
    <row r="204" spans="1:13" s="10" customFormat="1" ht="27" hidden="1" customHeight="1" x14ac:dyDescent="0.25">
      <c r="A204" s="103"/>
      <c r="B204" s="104"/>
      <c r="C204" s="103"/>
      <c r="D204" s="103"/>
      <c r="E204" s="103"/>
      <c r="F204" s="103"/>
      <c r="G204" s="103"/>
      <c r="H204" s="103"/>
      <c r="I204" s="107"/>
      <c r="J204" s="94" t="s">
        <v>8</v>
      </c>
      <c r="K204" s="95">
        <v>0</v>
      </c>
      <c r="L204" s="95">
        <v>0</v>
      </c>
      <c r="M204" s="95">
        <v>0</v>
      </c>
    </row>
    <row r="205" spans="1:13" s="10" customFormat="1" ht="15" customHeight="1" x14ac:dyDescent="0.25">
      <c r="A205" s="103" t="s">
        <v>118</v>
      </c>
      <c r="B205" s="104" t="s">
        <v>119</v>
      </c>
      <c r="C205" s="103" t="s">
        <v>272</v>
      </c>
      <c r="D205" s="93" t="s">
        <v>29</v>
      </c>
      <c r="E205" s="103" t="s">
        <v>10</v>
      </c>
      <c r="F205" s="103" t="s">
        <v>19</v>
      </c>
      <c r="G205" s="103">
        <v>2026</v>
      </c>
      <c r="H205" s="107">
        <f>I205+K205+L205+M205</f>
        <v>23084.01</v>
      </c>
      <c r="I205" s="107">
        <v>0</v>
      </c>
      <c r="J205" s="15" t="s">
        <v>6</v>
      </c>
      <c r="K205" s="95">
        <f>K207</f>
        <v>0</v>
      </c>
      <c r="L205" s="95">
        <f>L207</f>
        <v>0</v>
      </c>
      <c r="M205" s="95">
        <f>M207</f>
        <v>23084.01</v>
      </c>
    </row>
    <row r="206" spans="1:13" s="10" customFormat="1" ht="15" customHeight="1" x14ac:dyDescent="0.25">
      <c r="A206" s="103"/>
      <c r="B206" s="104"/>
      <c r="C206" s="103"/>
      <c r="D206" s="103" t="s">
        <v>16</v>
      </c>
      <c r="E206" s="103"/>
      <c r="F206" s="103"/>
      <c r="G206" s="103"/>
      <c r="H206" s="107"/>
      <c r="I206" s="107"/>
      <c r="J206" s="15" t="s">
        <v>7</v>
      </c>
      <c r="K206" s="95">
        <v>0</v>
      </c>
      <c r="L206" s="95">
        <v>0</v>
      </c>
      <c r="M206" s="95">
        <v>0</v>
      </c>
    </row>
    <row r="207" spans="1:13" s="10" customFormat="1" ht="28.5" customHeight="1" x14ac:dyDescent="0.25">
      <c r="A207" s="103"/>
      <c r="B207" s="104"/>
      <c r="C207" s="103"/>
      <c r="D207" s="103"/>
      <c r="E207" s="103"/>
      <c r="F207" s="103"/>
      <c r="G207" s="103"/>
      <c r="H207" s="103"/>
      <c r="I207" s="107"/>
      <c r="J207" s="94" t="s">
        <v>8</v>
      </c>
      <c r="K207" s="95">
        <v>0</v>
      </c>
      <c r="L207" s="95">
        <v>0</v>
      </c>
      <c r="M207" s="95">
        <f>55150.07-32066.06</f>
        <v>23084.01</v>
      </c>
    </row>
    <row r="208" spans="1:13" s="10" customFormat="1" ht="15" hidden="1" customHeight="1" x14ac:dyDescent="0.25">
      <c r="A208" s="103"/>
      <c r="B208" s="142" t="s">
        <v>53</v>
      </c>
      <c r="C208" s="103" t="s">
        <v>62</v>
      </c>
      <c r="D208" s="30" t="s">
        <v>29</v>
      </c>
      <c r="E208" s="103" t="s">
        <v>10</v>
      </c>
      <c r="F208" s="103" t="s">
        <v>19</v>
      </c>
      <c r="G208" s="103">
        <v>2026</v>
      </c>
      <c r="H208" s="107">
        <f>I208+K208+L208+M208</f>
        <v>0</v>
      </c>
      <c r="I208" s="107">
        <v>0</v>
      </c>
      <c r="J208" s="15" t="s">
        <v>6</v>
      </c>
      <c r="K208" s="36">
        <f>K209+K210</f>
        <v>0</v>
      </c>
      <c r="L208" s="36">
        <f>L209+L210</f>
        <v>0</v>
      </c>
      <c r="M208" s="36">
        <f>M209+M210</f>
        <v>0</v>
      </c>
    </row>
    <row r="209" spans="1:13" s="10" customFormat="1" ht="15" hidden="1" customHeight="1" x14ac:dyDescent="0.25">
      <c r="A209" s="103"/>
      <c r="B209" s="142"/>
      <c r="C209" s="103"/>
      <c r="D209" s="103" t="s">
        <v>16</v>
      </c>
      <c r="E209" s="103"/>
      <c r="F209" s="103"/>
      <c r="G209" s="103"/>
      <c r="H209" s="103"/>
      <c r="I209" s="107"/>
      <c r="J209" s="15" t="s">
        <v>7</v>
      </c>
      <c r="K209" s="36">
        <v>0</v>
      </c>
      <c r="L209" s="36">
        <v>0</v>
      </c>
      <c r="M209" s="36">
        <v>0</v>
      </c>
    </row>
    <row r="210" spans="1:13" s="10" customFormat="1" ht="27.75" hidden="1" customHeight="1" x14ac:dyDescent="0.25">
      <c r="A210" s="103"/>
      <c r="B210" s="142"/>
      <c r="C210" s="103"/>
      <c r="D210" s="103"/>
      <c r="E210" s="103"/>
      <c r="F210" s="103"/>
      <c r="G210" s="103"/>
      <c r="H210" s="103"/>
      <c r="I210" s="107"/>
      <c r="J210" s="31" t="s">
        <v>8</v>
      </c>
      <c r="K210" s="36">
        <v>0</v>
      </c>
      <c r="L210" s="36">
        <v>0</v>
      </c>
      <c r="M210" s="87"/>
    </row>
    <row r="211" spans="1:13" s="10" customFormat="1" ht="15" customHeight="1" x14ac:dyDescent="0.25">
      <c r="A211" s="114" t="s">
        <v>184</v>
      </c>
      <c r="B211" s="111" t="s">
        <v>56</v>
      </c>
      <c r="C211" s="114" t="s">
        <v>273</v>
      </c>
      <c r="D211" s="30" t="s">
        <v>29</v>
      </c>
      <c r="E211" s="114" t="s">
        <v>10</v>
      </c>
      <c r="F211" s="103" t="s">
        <v>19</v>
      </c>
      <c r="G211" s="103" t="s">
        <v>40</v>
      </c>
      <c r="H211" s="107">
        <f>I211+K211+L211+M211</f>
        <v>24000</v>
      </c>
      <c r="I211" s="107">
        <v>0</v>
      </c>
      <c r="J211" s="15" t="s">
        <v>6</v>
      </c>
      <c r="K211" s="36">
        <f t="shared" ref="K211" si="67">K212</f>
        <v>3000</v>
      </c>
      <c r="L211" s="36">
        <f>L212</f>
        <v>21000</v>
      </c>
      <c r="M211" s="36">
        <f>M212</f>
        <v>0</v>
      </c>
    </row>
    <row r="212" spans="1:13" s="10" customFormat="1" ht="33.75" customHeight="1" x14ac:dyDescent="0.25">
      <c r="A212" s="122"/>
      <c r="B212" s="112"/>
      <c r="C212" s="122"/>
      <c r="D212" s="114" t="s">
        <v>16</v>
      </c>
      <c r="E212" s="122"/>
      <c r="F212" s="103"/>
      <c r="G212" s="103"/>
      <c r="H212" s="103"/>
      <c r="I212" s="107"/>
      <c r="J212" s="31" t="s">
        <v>8</v>
      </c>
      <c r="K212" s="36">
        <v>3000</v>
      </c>
      <c r="L212" s="36">
        <v>21000</v>
      </c>
      <c r="M212" s="36">
        <v>0</v>
      </c>
    </row>
    <row r="213" spans="1:13" s="1" customFormat="1" ht="17.25" customHeight="1" x14ac:dyDescent="0.25">
      <c r="A213" s="122"/>
      <c r="B213" s="112"/>
      <c r="C213" s="122"/>
      <c r="D213" s="122"/>
      <c r="E213" s="122"/>
      <c r="F213" s="114" t="s">
        <v>15</v>
      </c>
      <c r="G213" s="108" t="s">
        <v>137</v>
      </c>
      <c r="H213" s="106">
        <f>I213+K213+L213+M213</f>
        <v>8700.16</v>
      </c>
      <c r="I213" s="138">
        <v>0</v>
      </c>
      <c r="J213" s="12" t="s">
        <v>6</v>
      </c>
      <c r="K213" s="79">
        <f t="shared" ref="K213" si="68">K214</f>
        <v>722.88</v>
      </c>
      <c r="L213" s="79">
        <f>L214</f>
        <v>4477.28</v>
      </c>
      <c r="M213" s="79">
        <f>M214</f>
        <v>3500</v>
      </c>
    </row>
    <row r="214" spans="1:13" s="1" customFormat="1" ht="16.5" customHeight="1" x14ac:dyDescent="0.25">
      <c r="A214" s="115"/>
      <c r="B214" s="113"/>
      <c r="C214" s="115"/>
      <c r="D214" s="115"/>
      <c r="E214" s="115"/>
      <c r="F214" s="115"/>
      <c r="G214" s="110"/>
      <c r="H214" s="105"/>
      <c r="I214" s="139"/>
      <c r="J214" s="77" t="s">
        <v>8</v>
      </c>
      <c r="K214" s="99">
        <v>722.88</v>
      </c>
      <c r="L214" s="99">
        <v>4477.28</v>
      </c>
      <c r="M214" s="79">
        <v>3500</v>
      </c>
    </row>
    <row r="215" spans="1:13" s="10" customFormat="1" ht="15" customHeight="1" x14ac:dyDescent="0.25">
      <c r="A215" s="103" t="s">
        <v>190</v>
      </c>
      <c r="B215" s="104" t="s">
        <v>224</v>
      </c>
      <c r="C215" s="103" t="s">
        <v>274</v>
      </c>
      <c r="D215" s="93" t="s">
        <v>29</v>
      </c>
      <c r="E215" s="103" t="s">
        <v>10</v>
      </c>
      <c r="F215" s="103" t="s">
        <v>19</v>
      </c>
      <c r="G215" s="103" t="s">
        <v>122</v>
      </c>
      <c r="H215" s="107">
        <f>I215+K215+L215+M215</f>
        <v>352183.42</v>
      </c>
      <c r="I215" s="107">
        <v>183.42</v>
      </c>
      <c r="J215" s="15" t="s">
        <v>6</v>
      </c>
      <c r="K215" s="95">
        <f t="shared" ref="K215" si="69">K217</f>
        <v>0</v>
      </c>
      <c r="L215" s="95">
        <f>L217</f>
        <v>70400</v>
      </c>
      <c r="M215" s="95">
        <f>M217</f>
        <v>281600</v>
      </c>
    </row>
    <row r="216" spans="1:13" s="10" customFormat="1" ht="15" customHeight="1" x14ac:dyDescent="0.25">
      <c r="A216" s="103"/>
      <c r="B216" s="104"/>
      <c r="C216" s="103"/>
      <c r="D216" s="103" t="s">
        <v>16</v>
      </c>
      <c r="E216" s="103"/>
      <c r="F216" s="103"/>
      <c r="G216" s="103"/>
      <c r="H216" s="107"/>
      <c r="I216" s="107"/>
      <c r="J216" s="15" t="s">
        <v>7</v>
      </c>
      <c r="K216" s="95">
        <v>0</v>
      </c>
      <c r="L216" s="95">
        <v>0</v>
      </c>
      <c r="M216" s="95">
        <v>0</v>
      </c>
    </row>
    <row r="217" spans="1:13" s="10" customFormat="1" ht="21.75" customHeight="1" x14ac:dyDescent="0.25">
      <c r="A217" s="103"/>
      <c r="B217" s="104"/>
      <c r="C217" s="103"/>
      <c r="D217" s="103"/>
      <c r="E217" s="103"/>
      <c r="F217" s="103"/>
      <c r="G217" s="103"/>
      <c r="H217" s="103"/>
      <c r="I217" s="107"/>
      <c r="J217" s="94" t="s">
        <v>8</v>
      </c>
      <c r="K217" s="95">
        <v>0</v>
      </c>
      <c r="L217" s="95">
        <f>176000-105600</f>
        <v>70400</v>
      </c>
      <c r="M217" s="95">
        <f>176000+105600</f>
        <v>281600</v>
      </c>
    </row>
    <row r="218" spans="1:13" s="10" customFormat="1" ht="15.75" customHeight="1" x14ac:dyDescent="0.25">
      <c r="A218" s="103" t="s">
        <v>178</v>
      </c>
      <c r="B218" s="104" t="s">
        <v>177</v>
      </c>
      <c r="C218" s="103" t="s">
        <v>275</v>
      </c>
      <c r="D218" s="103" t="s">
        <v>29</v>
      </c>
      <c r="E218" s="103" t="s">
        <v>10</v>
      </c>
      <c r="F218" s="103" t="s">
        <v>19</v>
      </c>
      <c r="G218" s="103">
        <v>2024</v>
      </c>
      <c r="H218" s="107">
        <f>I218+K218+M219</f>
        <v>2838.37</v>
      </c>
      <c r="I218" s="107">
        <v>0</v>
      </c>
      <c r="J218" s="143" t="s">
        <v>6</v>
      </c>
      <c r="K218" s="132">
        <f t="shared" ref="K218:M218" si="70">K220</f>
        <v>2838.37</v>
      </c>
      <c r="L218" s="132">
        <f t="shared" si="70"/>
        <v>0</v>
      </c>
      <c r="M218" s="132">
        <f t="shared" si="70"/>
        <v>0</v>
      </c>
    </row>
    <row r="219" spans="1:13" s="10" customFormat="1" ht="15" customHeight="1" x14ac:dyDescent="0.25">
      <c r="A219" s="103"/>
      <c r="B219" s="104"/>
      <c r="C219" s="103"/>
      <c r="D219" s="103"/>
      <c r="E219" s="103"/>
      <c r="F219" s="103"/>
      <c r="G219" s="103"/>
      <c r="H219" s="103"/>
      <c r="I219" s="107"/>
      <c r="J219" s="143"/>
      <c r="K219" s="132"/>
      <c r="L219" s="132"/>
      <c r="M219" s="132"/>
    </row>
    <row r="220" spans="1:13" s="10" customFormat="1" ht="28.5" customHeight="1" x14ac:dyDescent="0.25">
      <c r="A220" s="103"/>
      <c r="B220" s="104"/>
      <c r="C220" s="103"/>
      <c r="D220" s="70" t="s">
        <v>16</v>
      </c>
      <c r="E220" s="103"/>
      <c r="F220" s="103"/>
      <c r="G220" s="103"/>
      <c r="H220" s="103"/>
      <c r="I220" s="107"/>
      <c r="J220" s="39" t="s">
        <v>8</v>
      </c>
      <c r="K220" s="73">
        <v>2838.37</v>
      </c>
      <c r="L220" s="73">
        <v>0</v>
      </c>
      <c r="M220" s="73">
        <v>0</v>
      </c>
    </row>
    <row r="221" spans="1:13" s="10" customFormat="1" ht="15.75" customHeight="1" x14ac:dyDescent="0.25">
      <c r="A221" s="103" t="s">
        <v>102</v>
      </c>
      <c r="B221" s="104" t="s">
        <v>194</v>
      </c>
      <c r="C221" s="103" t="s">
        <v>276</v>
      </c>
      <c r="D221" s="103" t="s">
        <v>29</v>
      </c>
      <c r="E221" s="103" t="s">
        <v>10</v>
      </c>
      <c r="F221" s="103" t="s">
        <v>19</v>
      </c>
      <c r="G221" s="103">
        <v>2025</v>
      </c>
      <c r="H221" s="107">
        <f>I221+K221+L221+M221</f>
        <v>1992.81</v>
      </c>
      <c r="I221" s="107">
        <v>0</v>
      </c>
      <c r="J221" s="143" t="s">
        <v>6</v>
      </c>
      <c r="K221" s="132">
        <f t="shared" ref="K221:M221" si="71">K223</f>
        <v>0</v>
      </c>
      <c r="L221" s="132">
        <f t="shared" si="71"/>
        <v>1992.81</v>
      </c>
      <c r="M221" s="132">
        <f t="shared" si="71"/>
        <v>0</v>
      </c>
    </row>
    <row r="222" spans="1:13" s="10" customFormat="1" ht="15" customHeight="1" x14ac:dyDescent="0.25">
      <c r="A222" s="103"/>
      <c r="B222" s="104"/>
      <c r="C222" s="103"/>
      <c r="D222" s="103"/>
      <c r="E222" s="103"/>
      <c r="F222" s="103"/>
      <c r="G222" s="103"/>
      <c r="H222" s="103"/>
      <c r="I222" s="107"/>
      <c r="J222" s="143"/>
      <c r="K222" s="132"/>
      <c r="L222" s="132"/>
      <c r="M222" s="132"/>
    </row>
    <row r="223" spans="1:13" s="10" customFormat="1" ht="28.5" customHeight="1" x14ac:dyDescent="0.25">
      <c r="A223" s="103"/>
      <c r="B223" s="104"/>
      <c r="C223" s="103"/>
      <c r="D223" s="74" t="s">
        <v>16</v>
      </c>
      <c r="E223" s="103"/>
      <c r="F223" s="103"/>
      <c r="G223" s="103"/>
      <c r="H223" s="103"/>
      <c r="I223" s="107"/>
      <c r="J223" s="80" t="s">
        <v>8</v>
      </c>
      <c r="K223" s="78">
        <v>0</v>
      </c>
      <c r="L223" s="78">
        <v>1992.81</v>
      </c>
      <c r="M223" s="78">
        <v>0</v>
      </c>
    </row>
    <row r="224" spans="1:13" s="10" customFormat="1" ht="15.75" customHeight="1" x14ac:dyDescent="0.25">
      <c r="A224" s="103" t="s">
        <v>120</v>
      </c>
      <c r="B224" s="104" t="s">
        <v>175</v>
      </c>
      <c r="C224" s="103" t="s">
        <v>277</v>
      </c>
      <c r="D224" s="93" t="s">
        <v>27</v>
      </c>
      <c r="E224" s="103" t="s">
        <v>12</v>
      </c>
      <c r="F224" s="103" t="s">
        <v>158</v>
      </c>
      <c r="G224" s="103">
        <v>2026</v>
      </c>
      <c r="H224" s="107">
        <f>I224+K224+L224+M224</f>
        <v>5862.88</v>
      </c>
      <c r="I224" s="107">
        <v>0</v>
      </c>
      <c r="J224" s="96" t="s">
        <v>6</v>
      </c>
      <c r="K224" s="28">
        <f>K225</f>
        <v>0</v>
      </c>
      <c r="L224" s="28">
        <f>L225</f>
        <v>0</v>
      </c>
      <c r="M224" s="28">
        <f>M225</f>
        <v>5862.88</v>
      </c>
    </row>
    <row r="225" spans="1:14" s="10" customFormat="1" ht="38.25" customHeight="1" x14ac:dyDescent="0.25">
      <c r="A225" s="103"/>
      <c r="B225" s="104"/>
      <c r="C225" s="103"/>
      <c r="D225" s="93" t="s">
        <v>278</v>
      </c>
      <c r="E225" s="103"/>
      <c r="F225" s="103"/>
      <c r="G225" s="103"/>
      <c r="H225" s="103"/>
      <c r="I225" s="107"/>
      <c r="J225" s="96" t="s">
        <v>8</v>
      </c>
      <c r="K225" s="95">
        <v>0</v>
      </c>
      <c r="L225" s="95">
        <v>0</v>
      </c>
      <c r="M225" s="95">
        <v>5862.88</v>
      </c>
      <c r="N225" s="10" t="s">
        <v>222</v>
      </c>
    </row>
    <row r="226" spans="1:14" s="8" customFormat="1" ht="15.75" customHeight="1" x14ac:dyDescent="0.25">
      <c r="A226" s="124" t="s">
        <v>86</v>
      </c>
      <c r="B226" s="124"/>
      <c r="C226" s="124"/>
      <c r="D226" s="124"/>
      <c r="E226" s="124"/>
      <c r="F226" s="124"/>
      <c r="G226" s="124"/>
      <c r="H226" s="124"/>
      <c r="I226" s="124"/>
      <c r="J226" s="7" t="s">
        <v>6</v>
      </c>
      <c r="K226" s="3">
        <f>K227+K228</f>
        <v>530332.13000000012</v>
      </c>
      <c r="L226" s="3">
        <f t="shared" ref="L226:M226" si="72">L227+L228</f>
        <v>378919.95</v>
      </c>
      <c r="M226" s="3">
        <f t="shared" si="72"/>
        <v>50232.86</v>
      </c>
    </row>
    <row r="227" spans="1:14" s="8" customFormat="1" ht="15.75" x14ac:dyDescent="0.25">
      <c r="A227" s="124"/>
      <c r="B227" s="124"/>
      <c r="C227" s="124"/>
      <c r="D227" s="124"/>
      <c r="E227" s="124"/>
      <c r="F227" s="124"/>
      <c r="G227" s="124"/>
      <c r="H227" s="124"/>
      <c r="I227" s="124"/>
      <c r="J227" s="7" t="s">
        <v>7</v>
      </c>
      <c r="K227" s="3">
        <f>K230+K280+K253</f>
        <v>160258.71000000002</v>
      </c>
      <c r="L227" s="3">
        <f t="shared" ref="L227:M227" si="73">L230+L280+L253</f>
        <v>4198.21</v>
      </c>
      <c r="M227" s="3">
        <f t="shared" si="73"/>
        <v>0</v>
      </c>
    </row>
    <row r="228" spans="1:14" s="8" customFormat="1" ht="15.75" x14ac:dyDescent="0.25">
      <c r="A228" s="124"/>
      <c r="B228" s="124"/>
      <c r="C228" s="124"/>
      <c r="D228" s="124"/>
      <c r="E228" s="124"/>
      <c r="F228" s="124"/>
      <c r="G228" s="124"/>
      <c r="H228" s="124"/>
      <c r="I228" s="124"/>
      <c r="J228" s="7" t="s">
        <v>8</v>
      </c>
      <c r="K228" s="3">
        <f>K231+K233+K235+K237+K239+K241+K243+K245+K247+K249+K251+K254+K256+K262+K264+K266+K268+K270+K272+K281+K278+K258+K260+K274+K276</f>
        <v>370073.42000000004</v>
      </c>
      <c r="L228" s="3">
        <f t="shared" ref="L228:M228" si="74">L231+L233+L235+L237+L239+L241+L243+L245+L247+L249+L251+L254+L256+L262+L264+L266+L268+L270+L272+L281+L278+L258+L260+L274+L276</f>
        <v>374721.74</v>
      </c>
      <c r="M228" s="3">
        <f t="shared" si="74"/>
        <v>50232.86</v>
      </c>
    </row>
    <row r="229" spans="1:14" s="10" customFormat="1" ht="26.25" customHeight="1" x14ac:dyDescent="0.25">
      <c r="A229" s="103" t="s">
        <v>142</v>
      </c>
      <c r="B229" s="104" t="s">
        <v>315</v>
      </c>
      <c r="C229" s="103" t="s">
        <v>279</v>
      </c>
      <c r="D229" s="30" t="s">
        <v>27</v>
      </c>
      <c r="E229" s="103" t="s">
        <v>12</v>
      </c>
      <c r="F229" s="103" t="s">
        <v>11</v>
      </c>
      <c r="G229" s="103" t="s">
        <v>40</v>
      </c>
      <c r="H229" s="107">
        <f>I229+K229+L229+M229</f>
        <v>338553.32</v>
      </c>
      <c r="I229" s="107">
        <v>129713.66</v>
      </c>
      <c r="J229" s="31" t="s">
        <v>6</v>
      </c>
      <c r="K229" s="36">
        <f>K230+K231</f>
        <v>208839.66</v>
      </c>
      <c r="L229" s="36">
        <f>L230+L231</f>
        <v>0</v>
      </c>
      <c r="M229" s="36">
        <f>M230+M231</f>
        <v>0</v>
      </c>
    </row>
    <row r="230" spans="1:14" s="10" customFormat="1" ht="23.25" customHeight="1" x14ac:dyDescent="0.25">
      <c r="A230" s="103"/>
      <c r="B230" s="104"/>
      <c r="C230" s="103"/>
      <c r="D230" s="103" t="s">
        <v>20</v>
      </c>
      <c r="E230" s="103"/>
      <c r="F230" s="103"/>
      <c r="G230" s="103"/>
      <c r="H230" s="107"/>
      <c r="I230" s="107"/>
      <c r="J230" s="39" t="s">
        <v>7</v>
      </c>
      <c r="K230" s="99">
        <f>89575.36-4333.17-1400</f>
        <v>83842.19</v>
      </c>
      <c r="L230" s="36">
        <v>0</v>
      </c>
      <c r="M230" s="36">
        <v>0</v>
      </c>
    </row>
    <row r="231" spans="1:14" s="10" customFormat="1" ht="26.25" customHeight="1" x14ac:dyDescent="0.25">
      <c r="A231" s="103"/>
      <c r="B231" s="104"/>
      <c r="C231" s="103"/>
      <c r="D231" s="103"/>
      <c r="E231" s="103"/>
      <c r="F231" s="103"/>
      <c r="G231" s="103"/>
      <c r="H231" s="107"/>
      <c r="I231" s="107"/>
      <c r="J231" s="31" t="s">
        <v>8</v>
      </c>
      <c r="K231" s="36">
        <f>124597.47+400</f>
        <v>124997.47</v>
      </c>
      <c r="L231" s="36">
        <v>0</v>
      </c>
      <c r="M231" s="36">
        <v>0</v>
      </c>
    </row>
    <row r="232" spans="1:14" s="1" customFormat="1" ht="31.5" customHeight="1" x14ac:dyDescent="0.25">
      <c r="A232" s="105" t="s">
        <v>143</v>
      </c>
      <c r="B232" s="123" t="s">
        <v>57</v>
      </c>
      <c r="C232" s="103" t="s">
        <v>280</v>
      </c>
      <c r="D232" s="105" t="s">
        <v>27</v>
      </c>
      <c r="E232" s="105" t="s">
        <v>12</v>
      </c>
      <c r="F232" s="103" t="s">
        <v>60</v>
      </c>
      <c r="G232" s="105" t="s">
        <v>40</v>
      </c>
      <c r="H232" s="106">
        <f>I232+K232+L232+M232</f>
        <v>7119.26</v>
      </c>
      <c r="I232" s="107">
        <v>0</v>
      </c>
      <c r="J232" s="34" t="s">
        <v>6</v>
      </c>
      <c r="K232" s="37">
        <f>K233</f>
        <v>7119.26</v>
      </c>
      <c r="L232" s="37">
        <f t="shared" ref="L232:M232" si="75">L233</f>
        <v>0</v>
      </c>
      <c r="M232" s="37">
        <f t="shared" si="75"/>
        <v>0</v>
      </c>
    </row>
    <row r="233" spans="1:14" s="1" customFormat="1" ht="29.25" customHeight="1" x14ac:dyDescent="0.25">
      <c r="A233" s="105"/>
      <c r="B233" s="123"/>
      <c r="C233" s="103"/>
      <c r="D233" s="105"/>
      <c r="E233" s="105"/>
      <c r="F233" s="103"/>
      <c r="G233" s="105"/>
      <c r="H233" s="106"/>
      <c r="I233" s="107"/>
      <c r="J233" s="38" t="s">
        <v>8</v>
      </c>
      <c r="K233" s="37">
        <v>7119.26</v>
      </c>
      <c r="L233" s="37">
        <v>0</v>
      </c>
      <c r="M233" s="37">
        <v>0</v>
      </c>
    </row>
    <row r="234" spans="1:14" s="1" customFormat="1" ht="15.75" customHeight="1" x14ac:dyDescent="0.25">
      <c r="A234" s="105"/>
      <c r="B234" s="123"/>
      <c r="C234" s="103"/>
      <c r="D234" s="105" t="s">
        <v>20</v>
      </c>
      <c r="E234" s="105"/>
      <c r="F234" s="103" t="s">
        <v>11</v>
      </c>
      <c r="G234" s="105" t="s">
        <v>140</v>
      </c>
      <c r="H234" s="106">
        <f>I234+K234+L234+M234</f>
        <v>176751.22</v>
      </c>
      <c r="I234" s="107">
        <v>42997.52</v>
      </c>
      <c r="J234" s="31" t="s">
        <v>6</v>
      </c>
      <c r="K234" s="36">
        <f>K235</f>
        <v>5730.93</v>
      </c>
      <c r="L234" s="36">
        <f>L235</f>
        <v>128022.77</v>
      </c>
      <c r="M234" s="36">
        <f>M235</f>
        <v>0</v>
      </c>
    </row>
    <row r="235" spans="1:14" s="1" customFormat="1" ht="30" customHeight="1" x14ac:dyDescent="0.25">
      <c r="A235" s="105"/>
      <c r="B235" s="123"/>
      <c r="C235" s="103"/>
      <c r="D235" s="105"/>
      <c r="E235" s="105"/>
      <c r="F235" s="103"/>
      <c r="G235" s="105"/>
      <c r="H235" s="106"/>
      <c r="I235" s="107"/>
      <c r="J235" s="39" t="s">
        <v>8</v>
      </c>
      <c r="K235" s="73">
        <v>5730.93</v>
      </c>
      <c r="L235" s="36">
        <v>128022.77</v>
      </c>
      <c r="M235" s="36">
        <v>0</v>
      </c>
    </row>
    <row r="236" spans="1:14" s="1" customFormat="1" ht="31.5" customHeight="1" x14ac:dyDescent="0.25">
      <c r="A236" s="105" t="s">
        <v>74</v>
      </c>
      <c r="B236" s="123" t="s">
        <v>91</v>
      </c>
      <c r="C236" s="103" t="s">
        <v>281</v>
      </c>
      <c r="D236" s="105" t="s">
        <v>27</v>
      </c>
      <c r="E236" s="105" t="s">
        <v>12</v>
      </c>
      <c r="F236" s="103" t="s">
        <v>60</v>
      </c>
      <c r="G236" s="105" t="s">
        <v>40</v>
      </c>
      <c r="H236" s="106">
        <f>I236+K236+L236+M236</f>
        <v>1274.45</v>
      </c>
      <c r="I236" s="107">
        <v>0</v>
      </c>
      <c r="J236" s="34" t="s">
        <v>6</v>
      </c>
      <c r="K236" s="37">
        <f>K237</f>
        <v>1274.45</v>
      </c>
      <c r="L236" s="37">
        <f t="shared" ref="L236:M236" si="76">L237</f>
        <v>0</v>
      </c>
      <c r="M236" s="37">
        <f t="shared" si="76"/>
        <v>0</v>
      </c>
    </row>
    <row r="237" spans="1:14" s="1" customFormat="1" ht="29.25" customHeight="1" x14ac:dyDescent="0.25">
      <c r="A237" s="105"/>
      <c r="B237" s="123"/>
      <c r="C237" s="103"/>
      <c r="D237" s="105"/>
      <c r="E237" s="105"/>
      <c r="F237" s="103"/>
      <c r="G237" s="105"/>
      <c r="H237" s="106"/>
      <c r="I237" s="107"/>
      <c r="J237" s="38" t="s">
        <v>8</v>
      </c>
      <c r="K237" s="37">
        <v>1274.45</v>
      </c>
      <c r="L237" s="37">
        <v>0</v>
      </c>
      <c r="M237" s="37">
        <v>0</v>
      </c>
    </row>
    <row r="238" spans="1:14" s="1" customFormat="1" ht="15.75" customHeight="1" x14ac:dyDescent="0.25">
      <c r="A238" s="105"/>
      <c r="B238" s="123"/>
      <c r="C238" s="103"/>
      <c r="D238" s="105" t="s">
        <v>20</v>
      </c>
      <c r="E238" s="105"/>
      <c r="F238" s="103" t="s">
        <v>11</v>
      </c>
      <c r="G238" s="105">
        <v>2025</v>
      </c>
      <c r="H238" s="106">
        <f>I238+K238+L238+M238</f>
        <v>46090.75</v>
      </c>
      <c r="I238" s="107">
        <v>0</v>
      </c>
      <c r="J238" s="34" t="s">
        <v>6</v>
      </c>
      <c r="K238" s="37">
        <f>K239</f>
        <v>0</v>
      </c>
      <c r="L238" s="37">
        <f>L239</f>
        <v>46090.75</v>
      </c>
      <c r="M238" s="37">
        <f>M239</f>
        <v>0</v>
      </c>
    </row>
    <row r="239" spans="1:14" s="1" customFormat="1" ht="30" customHeight="1" x14ac:dyDescent="0.25">
      <c r="A239" s="105"/>
      <c r="B239" s="123"/>
      <c r="C239" s="103"/>
      <c r="D239" s="105"/>
      <c r="E239" s="105"/>
      <c r="F239" s="103"/>
      <c r="G239" s="105"/>
      <c r="H239" s="106"/>
      <c r="I239" s="107"/>
      <c r="J239" s="38" t="s">
        <v>8</v>
      </c>
      <c r="K239" s="37">
        <v>0</v>
      </c>
      <c r="L239" s="37">
        <v>46090.75</v>
      </c>
      <c r="M239" s="37">
        <v>0</v>
      </c>
    </row>
    <row r="240" spans="1:14" s="10" customFormat="1" ht="15.75" customHeight="1" x14ac:dyDescent="0.25">
      <c r="A240" s="114" t="s">
        <v>75</v>
      </c>
      <c r="B240" s="111" t="s">
        <v>148</v>
      </c>
      <c r="C240" s="114" t="s">
        <v>282</v>
      </c>
      <c r="D240" s="30" t="s">
        <v>27</v>
      </c>
      <c r="E240" s="114" t="s">
        <v>12</v>
      </c>
      <c r="F240" s="103" t="s">
        <v>60</v>
      </c>
      <c r="G240" s="103">
        <v>2024</v>
      </c>
      <c r="H240" s="107">
        <f>I240+K240+L240+M240</f>
        <v>2410.3200000000002</v>
      </c>
      <c r="I240" s="107">
        <v>0</v>
      </c>
      <c r="J240" s="39" t="s">
        <v>6</v>
      </c>
      <c r="K240" s="36">
        <f>K241</f>
        <v>2410.3200000000002</v>
      </c>
      <c r="L240" s="36">
        <f>L241</f>
        <v>0</v>
      </c>
      <c r="M240" s="36">
        <f>M241</f>
        <v>0</v>
      </c>
    </row>
    <row r="241" spans="1:13" s="10" customFormat="1" ht="43.5" customHeight="1" x14ac:dyDescent="0.25">
      <c r="A241" s="122"/>
      <c r="B241" s="112"/>
      <c r="C241" s="122"/>
      <c r="D241" s="114" t="s">
        <v>20</v>
      </c>
      <c r="E241" s="122"/>
      <c r="F241" s="103"/>
      <c r="G241" s="103"/>
      <c r="H241" s="103"/>
      <c r="I241" s="107"/>
      <c r="J241" s="39" t="s">
        <v>8</v>
      </c>
      <c r="K241" s="36">
        <v>2410.3200000000002</v>
      </c>
      <c r="L241" s="36">
        <v>0</v>
      </c>
      <c r="M241" s="36">
        <v>0</v>
      </c>
    </row>
    <row r="242" spans="1:13" s="10" customFormat="1" ht="22.5" customHeight="1" x14ac:dyDescent="0.25">
      <c r="A242" s="122"/>
      <c r="B242" s="112"/>
      <c r="C242" s="122"/>
      <c r="D242" s="122"/>
      <c r="E242" s="122"/>
      <c r="F242" s="103" t="s">
        <v>11</v>
      </c>
      <c r="G242" s="114" t="s">
        <v>101</v>
      </c>
      <c r="H242" s="107">
        <f>I242+K242+L242+M242</f>
        <v>45619.92</v>
      </c>
      <c r="I242" s="118">
        <v>5000</v>
      </c>
      <c r="J242" s="39" t="s">
        <v>6</v>
      </c>
      <c r="K242" s="36">
        <f>K243</f>
        <v>0</v>
      </c>
      <c r="L242" s="36">
        <f t="shared" ref="L242:M242" si="77">L243</f>
        <v>40619.919999999998</v>
      </c>
      <c r="M242" s="36">
        <f t="shared" si="77"/>
        <v>0</v>
      </c>
    </row>
    <row r="243" spans="1:13" s="10" customFormat="1" ht="22.5" customHeight="1" x14ac:dyDescent="0.25">
      <c r="A243" s="115"/>
      <c r="B243" s="113"/>
      <c r="C243" s="115"/>
      <c r="D243" s="115"/>
      <c r="E243" s="115"/>
      <c r="F243" s="103"/>
      <c r="G243" s="115"/>
      <c r="H243" s="103"/>
      <c r="I243" s="119"/>
      <c r="J243" s="39" t="s">
        <v>8</v>
      </c>
      <c r="K243" s="36">
        <v>0</v>
      </c>
      <c r="L243" s="36">
        <v>40619.919999999998</v>
      </c>
      <c r="M243" s="36">
        <v>0</v>
      </c>
    </row>
    <row r="244" spans="1:13" s="1" customFormat="1" ht="50.25" customHeight="1" x14ac:dyDescent="0.25">
      <c r="A244" s="103" t="s">
        <v>76</v>
      </c>
      <c r="B244" s="123" t="s">
        <v>70</v>
      </c>
      <c r="C244" s="105" t="s">
        <v>283</v>
      </c>
      <c r="D244" s="105" t="s">
        <v>27</v>
      </c>
      <c r="E244" s="105" t="s">
        <v>12</v>
      </c>
      <c r="F244" s="103" t="s">
        <v>60</v>
      </c>
      <c r="G244" s="105" t="s">
        <v>40</v>
      </c>
      <c r="H244" s="106">
        <f>I244+K244+L244+M244</f>
        <v>4953.4799999999996</v>
      </c>
      <c r="I244" s="107">
        <v>0</v>
      </c>
      <c r="J244" s="38" t="s">
        <v>6</v>
      </c>
      <c r="K244" s="37">
        <f>K245</f>
        <v>4953.4799999999996</v>
      </c>
      <c r="L244" s="37">
        <f>L245</f>
        <v>0</v>
      </c>
      <c r="M244" s="37">
        <f>M245</f>
        <v>0</v>
      </c>
    </row>
    <row r="245" spans="1:13" s="1" customFormat="1" ht="15.75" x14ac:dyDescent="0.25">
      <c r="A245" s="103"/>
      <c r="B245" s="123"/>
      <c r="C245" s="105"/>
      <c r="D245" s="105"/>
      <c r="E245" s="105"/>
      <c r="F245" s="103"/>
      <c r="G245" s="105"/>
      <c r="H245" s="106"/>
      <c r="I245" s="107"/>
      <c r="J245" s="38" t="s">
        <v>8</v>
      </c>
      <c r="K245" s="37">
        <v>4953.4799999999996</v>
      </c>
      <c r="L245" s="37">
        <v>0</v>
      </c>
      <c r="M245" s="37">
        <v>0</v>
      </c>
    </row>
    <row r="246" spans="1:13" s="1" customFormat="1" ht="15.75" customHeight="1" x14ac:dyDescent="0.25">
      <c r="A246" s="103"/>
      <c r="B246" s="123"/>
      <c r="C246" s="105"/>
      <c r="D246" s="105" t="s">
        <v>20</v>
      </c>
      <c r="E246" s="105"/>
      <c r="F246" s="103" t="s">
        <v>104</v>
      </c>
      <c r="G246" s="105" t="s">
        <v>64</v>
      </c>
      <c r="H246" s="106">
        <f>I246+K246+L246+M246</f>
        <v>36963.170000000006</v>
      </c>
      <c r="I246" s="107">
        <f>482.92+2092.66</f>
        <v>2575.58</v>
      </c>
      <c r="J246" s="34" t="s">
        <v>6</v>
      </c>
      <c r="K246" s="37">
        <f>K247</f>
        <v>643.9</v>
      </c>
      <c r="L246" s="37">
        <f>L247</f>
        <v>33743.69</v>
      </c>
      <c r="M246" s="37">
        <f>M247</f>
        <v>0</v>
      </c>
    </row>
    <row r="247" spans="1:13" s="1" customFormat="1" ht="28.5" customHeight="1" x14ac:dyDescent="0.25">
      <c r="A247" s="103"/>
      <c r="B247" s="123"/>
      <c r="C247" s="105"/>
      <c r="D247" s="105"/>
      <c r="E247" s="105"/>
      <c r="F247" s="103"/>
      <c r="G247" s="105"/>
      <c r="H247" s="106"/>
      <c r="I247" s="107"/>
      <c r="J247" s="38" t="s">
        <v>8</v>
      </c>
      <c r="K247" s="37">
        <v>643.9</v>
      </c>
      <c r="L247" s="37">
        <v>33743.69</v>
      </c>
      <c r="M247" s="37">
        <v>0</v>
      </c>
    </row>
    <row r="248" spans="1:13" s="1" customFormat="1" ht="50.25" customHeight="1" x14ac:dyDescent="0.25">
      <c r="A248" s="103" t="s">
        <v>77</v>
      </c>
      <c r="B248" s="104" t="s">
        <v>151</v>
      </c>
      <c r="C248" s="105" t="s">
        <v>316</v>
      </c>
      <c r="D248" s="105" t="s">
        <v>27</v>
      </c>
      <c r="E248" s="105" t="s">
        <v>12</v>
      </c>
      <c r="F248" s="103" t="s">
        <v>60</v>
      </c>
      <c r="G248" s="105" t="s">
        <v>40</v>
      </c>
      <c r="H248" s="106">
        <f>I248+K248+L248+M248</f>
        <v>8791.869999999999</v>
      </c>
      <c r="I248" s="107">
        <v>0</v>
      </c>
      <c r="J248" s="38" t="s">
        <v>6</v>
      </c>
      <c r="K248" s="37">
        <f>K249</f>
        <v>8791.869999999999</v>
      </c>
      <c r="L248" s="37">
        <f>L249</f>
        <v>0</v>
      </c>
      <c r="M248" s="37">
        <f>M249</f>
        <v>0</v>
      </c>
    </row>
    <row r="249" spans="1:13" s="1" customFormat="1" ht="15.75" x14ac:dyDescent="0.25">
      <c r="A249" s="103"/>
      <c r="B249" s="104"/>
      <c r="C249" s="105"/>
      <c r="D249" s="105"/>
      <c r="E249" s="105"/>
      <c r="F249" s="103"/>
      <c r="G249" s="105"/>
      <c r="H249" s="106"/>
      <c r="I249" s="107"/>
      <c r="J249" s="38" t="s">
        <v>8</v>
      </c>
      <c r="K249" s="37">
        <f>10052.98-1261.11</f>
        <v>8791.869999999999</v>
      </c>
      <c r="L249" s="37">
        <v>0</v>
      </c>
      <c r="M249" s="37">
        <v>0</v>
      </c>
    </row>
    <row r="250" spans="1:13" s="1" customFormat="1" ht="15.75" customHeight="1" x14ac:dyDescent="0.25">
      <c r="A250" s="103"/>
      <c r="B250" s="104"/>
      <c r="C250" s="105"/>
      <c r="D250" s="105" t="s">
        <v>20</v>
      </c>
      <c r="E250" s="105"/>
      <c r="F250" s="103" t="s">
        <v>11</v>
      </c>
      <c r="G250" s="105" t="s">
        <v>64</v>
      </c>
      <c r="H250" s="106">
        <f>I250+K250+L250+M250</f>
        <v>145026.01</v>
      </c>
      <c r="I250" s="107">
        <f>5521.73+38652.06</f>
        <v>44173.789999999994</v>
      </c>
      <c r="J250" s="34" t="s">
        <v>6</v>
      </c>
      <c r="K250" s="37">
        <f>K251</f>
        <v>0</v>
      </c>
      <c r="L250" s="37">
        <f>L251</f>
        <v>100852.22</v>
      </c>
      <c r="M250" s="37">
        <f>M251</f>
        <v>0</v>
      </c>
    </row>
    <row r="251" spans="1:13" s="1" customFormat="1" ht="28.5" customHeight="1" x14ac:dyDescent="0.25">
      <c r="A251" s="103"/>
      <c r="B251" s="104"/>
      <c r="C251" s="105"/>
      <c r="D251" s="105"/>
      <c r="E251" s="105"/>
      <c r="F251" s="103"/>
      <c r="G251" s="105"/>
      <c r="H251" s="106"/>
      <c r="I251" s="107"/>
      <c r="J251" s="38" t="s">
        <v>8</v>
      </c>
      <c r="K251" s="37">
        <v>0</v>
      </c>
      <c r="L251" s="73">
        <f>68049.83+1261.11+31541.28</f>
        <v>100852.22</v>
      </c>
      <c r="M251" s="37">
        <v>0</v>
      </c>
    </row>
    <row r="252" spans="1:13" s="10" customFormat="1" ht="15.75" x14ac:dyDescent="0.25">
      <c r="A252" s="103" t="s">
        <v>21</v>
      </c>
      <c r="B252" s="104" t="s">
        <v>71</v>
      </c>
      <c r="C252" s="103" t="s">
        <v>284</v>
      </c>
      <c r="D252" s="114" t="s">
        <v>27</v>
      </c>
      <c r="E252" s="103" t="s">
        <v>12</v>
      </c>
      <c r="F252" s="103" t="s">
        <v>11</v>
      </c>
      <c r="G252" s="103">
        <v>2024</v>
      </c>
      <c r="H252" s="107">
        <f>I252+K252+L252+M252</f>
        <v>138431.52000000002</v>
      </c>
      <c r="I252" s="107">
        <v>0</v>
      </c>
      <c r="J252" s="96" t="s">
        <v>6</v>
      </c>
      <c r="K252" s="95">
        <f>K254+K253</f>
        <v>138431.52000000002</v>
      </c>
      <c r="L252" s="95">
        <f>L254</f>
        <v>0</v>
      </c>
      <c r="M252" s="95">
        <f>M254</f>
        <v>0</v>
      </c>
    </row>
    <row r="253" spans="1:13" s="10" customFormat="1" ht="15.75" customHeight="1" x14ac:dyDescent="0.25">
      <c r="A253" s="103"/>
      <c r="B253" s="104"/>
      <c r="C253" s="103"/>
      <c r="D253" s="115"/>
      <c r="E253" s="103"/>
      <c r="F253" s="103"/>
      <c r="G253" s="103"/>
      <c r="H253" s="107"/>
      <c r="I253" s="107"/>
      <c r="J253" s="96" t="s">
        <v>7</v>
      </c>
      <c r="K253" s="99">
        <f>6080.6+17664.38</f>
        <v>23744.980000000003</v>
      </c>
      <c r="L253" s="99">
        <v>468.06</v>
      </c>
      <c r="M253" s="95">
        <v>0</v>
      </c>
    </row>
    <row r="254" spans="1:13" s="10" customFormat="1" ht="47.25" x14ac:dyDescent="0.25">
      <c r="A254" s="103"/>
      <c r="B254" s="104"/>
      <c r="C254" s="103"/>
      <c r="D254" s="101" t="s">
        <v>20</v>
      </c>
      <c r="E254" s="103"/>
      <c r="F254" s="103"/>
      <c r="G254" s="103"/>
      <c r="H254" s="107"/>
      <c r="I254" s="107"/>
      <c r="J254" s="96" t="s">
        <v>8</v>
      </c>
      <c r="K254" s="99">
        <f>145119.38-30032.84-91273.5+90873.5</f>
        <v>114686.54000000001</v>
      </c>
      <c r="L254" s="99">
        <v>0</v>
      </c>
      <c r="M254" s="95">
        <v>0</v>
      </c>
    </row>
    <row r="255" spans="1:13" s="1" customFormat="1" ht="15.75" x14ac:dyDescent="0.25">
      <c r="A255" s="103" t="s">
        <v>22</v>
      </c>
      <c r="B255" s="123" t="s">
        <v>89</v>
      </c>
      <c r="C255" s="105" t="s">
        <v>285</v>
      </c>
      <c r="D255" s="35" t="s">
        <v>27</v>
      </c>
      <c r="E255" s="105" t="s">
        <v>12</v>
      </c>
      <c r="F255" s="103" t="s">
        <v>11</v>
      </c>
      <c r="G255" s="105">
        <v>2024</v>
      </c>
      <c r="H255" s="106">
        <f>I255+K255+L255+M255</f>
        <v>23664.09</v>
      </c>
      <c r="I255" s="107">
        <v>0</v>
      </c>
      <c r="J255" s="38" t="s">
        <v>6</v>
      </c>
      <c r="K255" s="37">
        <f>K256</f>
        <v>23664.09</v>
      </c>
      <c r="L255" s="37">
        <f>L256</f>
        <v>0</v>
      </c>
      <c r="M255" s="37">
        <f>M256</f>
        <v>0</v>
      </c>
    </row>
    <row r="256" spans="1:13" s="1" customFormat="1" ht="47.25" x14ac:dyDescent="0.25">
      <c r="A256" s="103"/>
      <c r="B256" s="123"/>
      <c r="C256" s="105"/>
      <c r="D256" s="35" t="s">
        <v>20</v>
      </c>
      <c r="E256" s="105"/>
      <c r="F256" s="103"/>
      <c r="G256" s="105"/>
      <c r="H256" s="106"/>
      <c r="I256" s="107"/>
      <c r="J256" s="38" t="s">
        <v>8</v>
      </c>
      <c r="K256" s="73">
        <v>23664.09</v>
      </c>
      <c r="L256" s="73">
        <v>0</v>
      </c>
      <c r="M256" s="37">
        <v>0</v>
      </c>
    </row>
    <row r="257" spans="1:13" s="1" customFormat="1" ht="15.75" x14ac:dyDescent="0.25">
      <c r="A257" s="103" t="s">
        <v>78</v>
      </c>
      <c r="B257" s="123" t="s">
        <v>202</v>
      </c>
      <c r="C257" s="105" t="s">
        <v>286</v>
      </c>
      <c r="D257" s="75" t="s">
        <v>27</v>
      </c>
      <c r="E257" s="105" t="s">
        <v>12</v>
      </c>
      <c r="F257" s="103" t="s">
        <v>11</v>
      </c>
      <c r="G257" s="105">
        <v>2024</v>
      </c>
      <c r="H257" s="106">
        <f>I257+K257+L257+M257</f>
        <v>6089.36</v>
      </c>
      <c r="I257" s="107">
        <v>0</v>
      </c>
      <c r="J257" s="38" t="s">
        <v>6</v>
      </c>
      <c r="K257" s="79">
        <f>K258</f>
        <v>6089.36</v>
      </c>
      <c r="L257" s="79">
        <f>L258</f>
        <v>0</v>
      </c>
      <c r="M257" s="79">
        <f>M258</f>
        <v>0</v>
      </c>
    </row>
    <row r="258" spans="1:13" s="1" customFormat="1" ht="64.5" customHeight="1" x14ac:dyDescent="0.25">
      <c r="A258" s="103"/>
      <c r="B258" s="123"/>
      <c r="C258" s="105"/>
      <c r="D258" s="75" t="s">
        <v>20</v>
      </c>
      <c r="E258" s="105"/>
      <c r="F258" s="103"/>
      <c r="G258" s="105"/>
      <c r="H258" s="106"/>
      <c r="I258" s="107"/>
      <c r="J258" s="38" t="s">
        <v>8</v>
      </c>
      <c r="K258" s="78">
        <v>6089.36</v>
      </c>
      <c r="L258" s="78">
        <v>0</v>
      </c>
      <c r="M258" s="79">
        <v>0</v>
      </c>
    </row>
    <row r="259" spans="1:13" s="1" customFormat="1" ht="15.75" x14ac:dyDescent="0.25">
      <c r="A259" s="103" t="s">
        <v>79</v>
      </c>
      <c r="B259" s="123" t="s">
        <v>203</v>
      </c>
      <c r="C259" s="105" t="s">
        <v>287</v>
      </c>
      <c r="D259" s="75" t="s">
        <v>27</v>
      </c>
      <c r="E259" s="105" t="s">
        <v>12</v>
      </c>
      <c r="F259" s="103" t="s">
        <v>11</v>
      </c>
      <c r="G259" s="105">
        <v>2024</v>
      </c>
      <c r="H259" s="106">
        <f>I259+K259+L259+M259</f>
        <v>11533.12</v>
      </c>
      <c r="I259" s="107">
        <v>0</v>
      </c>
      <c r="J259" s="38" t="s">
        <v>6</v>
      </c>
      <c r="K259" s="79">
        <f>K260</f>
        <v>11533.12</v>
      </c>
      <c r="L259" s="79">
        <f>L260</f>
        <v>0</v>
      </c>
      <c r="M259" s="79">
        <f>M260</f>
        <v>0</v>
      </c>
    </row>
    <row r="260" spans="1:13" s="1" customFormat="1" ht="64.5" customHeight="1" x14ac:dyDescent="0.25">
      <c r="A260" s="103"/>
      <c r="B260" s="123"/>
      <c r="C260" s="105"/>
      <c r="D260" s="75" t="s">
        <v>20</v>
      </c>
      <c r="E260" s="105"/>
      <c r="F260" s="103"/>
      <c r="G260" s="105"/>
      <c r="H260" s="106"/>
      <c r="I260" s="107"/>
      <c r="J260" s="38" t="s">
        <v>8</v>
      </c>
      <c r="K260" s="78">
        <v>11533.12</v>
      </c>
      <c r="L260" s="78">
        <v>0</v>
      </c>
      <c r="M260" s="79">
        <v>0</v>
      </c>
    </row>
    <row r="261" spans="1:13" s="1" customFormat="1" ht="50.25" customHeight="1" x14ac:dyDescent="0.25">
      <c r="A261" s="103" t="s">
        <v>93</v>
      </c>
      <c r="B261" s="104" t="s">
        <v>121</v>
      </c>
      <c r="C261" s="105" t="s">
        <v>288</v>
      </c>
      <c r="D261" s="105" t="s">
        <v>27</v>
      </c>
      <c r="E261" s="105" t="s">
        <v>12</v>
      </c>
      <c r="F261" s="103" t="s">
        <v>60</v>
      </c>
      <c r="G261" s="105">
        <v>2025</v>
      </c>
      <c r="H261" s="106">
        <f>I261+K261+L261+M261</f>
        <v>4698.4399999999996</v>
      </c>
      <c r="I261" s="107">
        <v>0</v>
      </c>
      <c r="J261" s="38" t="s">
        <v>6</v>
      </c>
      <c r="K261" s="37">
        <f>K262</f>
        <v>0</v>
      </c>
      <c r="L261" s="37">
        <f>L262</f>
        <v>4698.4399999999996</v>
      </c>
      <c r="M261" s="37">
        <f>M262</f>
        <v>0</v>
      </c>
    </row>
    <row r="262" spans="1:13" s="1" customFormat="1" ht="15.75" x14ac:dyDescent="0.25">
      <c r="A262" s="103"/>
      <c r="B262" s="104"/>
      <c r="C262" s="105"/>
      <c r="D262" s="105"/>
      <c r="E262" s="105"/>
      <c r="F262" s="103"/>
      <c r="G262" s="105"/>
      <c r="H262" s="106"/>
      <c r="I262" s="107"/>
      <c r="J262" s="38" t="s">
        <v>8</v>
      </c>
      <c r="K262" s="37">
        <v>0</v>
      </c>
      <c r="L262" s="37">
        <v>4698.4399999999996</v>
      </c>
      <c r="M262" s="37">
        <v>0</v>
      </c>
    </row>
    <row r="263" spans="1:13" s="1" customFormat="1" ht="15.75" customHeight="1" x14ac:dyDescent="0.25">
      <c r="A263" s="103"/>
      <c r="B263" s="104"/>
      <c r="C263" s="105"/>
      <c r="D263" s="105" t="s">
        <v>20</v>
      </c>
      <c r="E263" s="105"/>
      <c r="F263" s="103" t="s">
        <v>104</v>
      </c>
      <c r="G263" s="105" t="s">
        <v>122</v>
      </c>
      <c r="H263" s="106">
        <f>I263+K263+L263+M263</f>
        <v>12195.1</v>
      </c>
      <c r="I263" s="107">
        <v>4693.1000000000004</v>
      </c>
      <c r="J263" s="34" t="s">
        <v>6</v>
      </c>
      <c r="K263" s="37">
        <f>K264</f>
        <v>1173.27</v>
      </c>
      <c r="L263" s="37">
        <f>L264</f>
        <v>0</v>
      </c>
      <c r="M263" s="37">
        <f>M264</f>
        <v>6328.73</v>
      </c>
    </row>
    <row r="264" spans="1:13" s="1" customFormat="1" ht="28.5" customHeight="1" x14ac:dyDescent="0.25">
      <c r="A264" s="103"/>
      <c r="B264" s="104"/>
      <c r="C264" s="105"/>
      <c r="D264" s="105"/>
      <c r="E264" s="105"/>
      <c r="F264" s="103"/>
      <c r="G264" s="105"/>
      <c r="H264" s="106"/>
      <c r="I264" s="107"/>
      <c r="J264" s="38" t="s">
        <v>8</v>
      </c>
      <c r="K264" s="37">
        <v>1173.27</v>
      </c>
      <c r="L264" s="37">
        <v>0</v>
      </c>
      <c r="M264" s="37">
        <v>6328.73</v>
      </c>
    </row>
    <row r="265" spans="1:13" s="1" customFormat="1" ht="50.25" customHeight="1" x14ac:dyDescent="0.25">
      <c r="A265" s="103" t="s">
        <v>94</v>
      </c>
      <c r="B265" s="104" t="s">
        <v>141</v>
      </c>
      <c r="C265" s="105" t="s">
        <v>289</v>
      </c>
      <c r="D265" s="105" t="s">
        <v>27</v>
      </c>
      <c r="E265" s="105" t="s">
        <v>12</v>
      </c>
      <c r="F265" s="103" t="s">
        <v>60</v>
      </c>
      <c r="G265" s="105">
        <v>2024</v>
      </c>
      <c r="H265" s="106">
        <f>I265+K265+L265+M265</f>
        <v>1210</v>
      </c>
      <c r="I265" s="107">
        <v>0</v>
      </c>
      <c r="J265" s="38" t="s">
        <v>6</v>
      </c>
      <c r="K265" s="37">
        <f>K266</f>
        <v>1210</v>
      </c>
      <c r="L265" s="37">
        <f>L266</f>
        <v>0</v>
      </c>
      <c r="M265" s="37">
        <f>M266</f>
        <v>0</v>
      </c>
    </row>
    <row r="266" spans="1:13" s="1" customFormat="1" ht="15.75" x14ac:dyDescent="0.25">
      <c r="A266" s="103"/>
      <c r="B266" s="104"/>
      <c r="C266" s="105"/>
      <c r="D266" s="105"/>
      <c r="E266" s="105"/>
      <c r="F266" s="103"/>
      <c r="G266" s="105"/>
      <c r="H266" s="106"/>
      <c r="I266" s="107"/>
      <c r="J266" s="38" t="s">
        <v>8</v>
      </c>
      <c r="K266" s="37">
        <v>1210</v>
      </c>
      <c r="L266" s="37">
        <v>0</v>
      </c>
      <c r="M266" s="37">
        <v>0</v>
      </c>
    </row>
    <row r="267" spans="1:13" s="1" customFormat="1" ht="15.75" customHeight="1" x14ac:dyDescent="0.25">
      <c r="A267" s="103"/>
      <c r="B267" s="104"/>
      <c r="C267" s="105"/>
      <c r="D267" s="105" t="s">
        <v>20</v>
      </c>
      <c r="E267" s="105"/>
      <c r="F267" s="103" t="s">
        <v>11</v>
      </c>
      <c r="G267" s="105" t="s">
        <v>101</v>
      </c>
      <c r="H267" s="106">
        <f>I267+K267+L267+M267</f>
        <v>21257.87</v>
      </c>
      <c r="I267" s="107">
        <v>3032.96</v>
      </c>
      <c r="J267" s="34" t="s">
        <v>6</v>
      </c>
      <c r="K267" s="37">
        <f>K268</f>
        <v>1261.1099999999999</v>
      </c>
      <c r="L267" s="37">
        <f>L268</f>
        <v>16963.8</v>
      </c>
      <c r="M267" s="37">
        <f>M268</f>
        <v>0</v>
      </c>
    </row>
    <row r="268" spans="1:13" s="1" customFormat="1" ht="28.5" customHeight="1" x14ac:dyDescent="0.25">
      <c r="A268" s="103"/>
      <c r="B268" s="104"/>
      <c r="C268" s="105"/>
      <c r="D268" s="105"/>
      <c r="E268" s="105"/>
      <c r="F268" s="103"/>
      <c r="G268" s="105"/>
      <c r="H268" s="106"/>
      <c r="I268" s="107"/>
      <c r="J268" s="38" t="s">
        <v>8</v>
      </c>
      <c r="K268" s="37">
        <v>1261.1099999999999</v>
      </c>
      <c r="L268" s="37">
        <f>18224.91-1261.11</f>
        <v>16963.8</v>
      </c>
      <c r="M268" s="37">
        <v>0</v>
      </c>
    </row>
    <row r="269" spans="1:13" s="1" customFormat="1" ht="15.75" x14ac:dyDescent="0.25">
      <c r="A269" s="103" t="s">
        <v>95</v>
      </c>
      <c r="B269" s="104" t="s">
        <v>317</v>
      </c>
      <c r="C269" s="103" t="s">
        <v>290</v>
      </c>
      <c r="D269" s="35" t="s">
        <v>27</v>
      </c>
      <c r="E269" s="105" t="s">
        <v>12</v>
      </c>
      <c r="F269" s="103" t="s">
        <v>60</v>
      </c>
      <c r="G269" s="105">
        <v>2026</v>
      </c>
      <c r="H269" s="106">
        <f>I269+K269+L269+M269</f>
        <v>16556.169999999998</v>
      </c>
      <c r="I269" s="107">
        <v>0</v>
      </c>
      <c r="J269" s="38" t="s">
        <v>6</v>
      </c>
      <c r="K269" s="37">
        <f>K270</f>
        <v>0</v>
      </c>
      <c r="L269" s="37">
        <f>L270</f>
        <v>0</v>
      </c>
      <c r="M269" s="37">
        <f>M270</f>
        <v>16556.169999999998</v>
      </c>
    </row>
    <row r="270" spans="1:13" s="1" customFormat="1" ht="47.25" customHeight="1" x14ac:dyDescent="0.25">
      <c r="A270" s="103"/>
      <c r="B270" s="104"/>
      <c r="C270" s="103"/>
      <c r="D270" s="35" t="s">
        <v>20</v>
      </c>
      <c r="E270" s="105"/>
      <c r="F270" s="103"/>
      <c r="G270" s="105"/>
      <c r="H270" s="106"/>
      <c r="I270" s="107"/>
      <c r="J270" s="38" t="s">
        <v>8</v>
      </c>
      <c r="K270" s="37">
        <v>0</v>
      </c>
      <c r="L270" s="37">
        <v>0</v>
      </c>
      <c r="M270" s="37">
        <v>16556.169999999998</v>
      </c>
    </row>
    <row r="271" spans="1:13" s="1" customFormat="1" ht="15.75" x14ac:dyDescent="0.25">
      <c r="A271" s="103" t="s">
        <v>96</v>
      </c>
      <c r="B271" s="104" t="s">
        <v>318</v>
      </c>
      <c r="C271" s="103" t="s">
        <v>291</v>
      </c>
      <c r="D271" s="35" t="s">
        <v>27</v>
      </c>
      <c r="E271" s="105" t="s">
        <v>12</v>
      </c>
      <c r="F271" s="103" t="s">
        <v>60</v>
      </c>
      <c r="G271" s="105">
        <v>2026</v>
      </c>
      <c r="H271" s="106">
        <f>I271+K271+L271+M271</f>
        <v>27347.96</v>
      </c>
      <c r="I271" s="107">
        <v>0</v>
      </c>
      <c r="J271" s="38" t="s">
        <v>6</v>
      </c>
      <c r="K271" s="37">
        <f>K272</f>
        <v>0</v>
      </c>
      <c r="L271" s="37">
        <f>L272</f>
        <v>0</v>
      </c>
      <c r="M271" s="37">
        <f>M272</f>
        <v>27347.96</v>
      </c>
    </row>
    <row r="272" spans="1:13" s="1" customFormat="1" ht="47.25" customHeight="1" x14ac:dyDescent="0.25">
      <c r="A272" s="103"/>
      <c r="B272" s="104"/>
      <c r="C272" s="103"/>
      <c r="D272" s="35" t="s">
        <v>20</v>
      </c>
      <c r="E272" s="105"/>
      <c r="F272" s="103"/>
      <c r="G272" s="105"/>
      <c r="H272" s="106"/>
      <c r="I272" s="107"/>
      <c r="J272" s="38" t="s">
        <v>8</v>
      </c>
      <c r="K272" s="37">
        <v>0</v>
      </c>
      <c r="L272" s="37">
        <v>0</v>
      </c>
      <c r="M272" s="37">
        <v>27347.96</v>
      </c>
    </row>
    <row r="273" spans="1:13" s="1" customFormat="1" ht="50.25" customHeight="1" x14ac:dyDescent="0.25">
      <c r="A273" s="103" t="s">
        <v>114</v>
      </c>
      <c r="B273" s="104" t="s">
        <v>319</v>
      </c>
      <c r="C273" s="103" t="s">
        <v>292</v>
      </c>
      <c r="D273" s="105" t="s">
        <v>27</v>
      </c>
      <c r="E273" s="105" t="s">
        <v>12</v>
      </c>
      <c r="F273" s="103" t="s">
        <v>60</v>
      </c>
      <c r="G273" s="105">
        <v>2025</v>
      </c>
      <c r="H273" s="106">
        <f>I273+K273+L273+M273</f>
        <v>0</v>
      </c>
      <c r="I273" s="107">
        <v>0</v>
      </c>
      <c r="J273" s="38" t="s">
        <v>6</v>
      </c>
      <c r="K273" s="86">
        <f>K274</f>
        <v>0</v>
      </c>
      <c r="L273" s="86">
        <f t="shared" ref="L273:M273" si="78">L274</f>
        <v>0</v>
      </c>
      <c r="M273" s="86">
        <f t="shared" si="78"/>
        <v>0</v>
      </c>
    </row>
    <row r="274" spans="1:13" s="1" customFormat="1" ht="15.75" x14ac:dyDescent="0.25">
      <c r="A274" s="103"/>
      <c r="B274" s="104"/>
      <c r="C274" s="103"/>
      <c r="D274" s="105"/>
      <c r="E274" s="105"/>
      <c r="F274" s="103"/>
      <c r="G274" s="105"/>
      <c r="H274" s="106"/>
      <c r="I274" s="107"/>
      <c r="J274" s="38" t="s">
        <v>8</v>
      </c>
      <c r="K274" s="86">
        <v>0</v>
      </c>
      <c r="L274" s="86">
        <v>0</v>
      </c>
      <c r="M274" s="86">
        <v>0</v>
      </c>
    </row>
    <row r="275" spans="1:13" s="1" customFormat="1" ht="15.75" customHeight="1" x14ac:dyDescent="0.25">
      <c r="A275" s="103"/>
      <c r="B275" s="104"/>
      <c r="C275" s="103"/>
      <c r="D275" s="105" t="s">
        <v>20</v>
      </c>
      <c r="E275" s="105"/>
      <c r="F275" s="103" t="s">
        <v>104</v>
      </c>
      <c r="G275" s="105" t="s">
        <v>137</v>
      </c>
      <c r="H275" s="106">
        <f>I275+K275+L275+M275</f>
        <v>1133.3699999999999</v>
      </c>
      <c r="I275" s="107">
        <v>0</v>
      </c>
      <c r="J275" s="97" t="s">
        <v>6</v>
      </c>
      <c r="K275" s="86">
        <f>K276</f>
        <v>1133.3699999999999</v>
      </c>
      <c r="L275" s="86">
        <f>L276</f>
        <v>0</v>
      </c>
      <c r="M275" s="86">
        <f>M276</f>
        <v>0</v>
      </c>
    </row>
    <row r="276" spans="1:13" s="1" customFormat="1" ht="28.5" customHeight="1" x14ac:dyDescent="0.25">
      <c r="A276" s="103"/>
      <c r="B276" s="104"/>
      <c r="C276" s="103"/>
      <c r="D276" s="105"/>
      <c r="E276" s="105"/>
      <c r="F276" s="103"/>
      <c r="G276" s="105"/>
      <c r="H276" s="106"/>
      <c r="I276" s="107"/>
      <c r="J276" s="38" t="s">
        <v>8</v>
      </c>
      <c r="K276" s="86">
        <v>1133.3699999999999</v>
      </c>
      <c r="L276" s="86">
        <v>0</v>
      </c>
      <c r="M276" s="86">
        <v>0</v>
      </c>
    </row>
    <row r="277" spans="1:13" s="10" customFormat="1" ht="18" customHeight="1" x14ac:dyDescent="0.25">
      <c r="A277" s="114" t="s">
        <v>97</v>
      </c>
      <c r="B277" s="111" t="s">
        <v>149</v>
      </c>
      <c r="C277" s="114" t="s">
        <v>293</v>
      </c>
      <c r="D277" s="114" t="s">
        <v>27</v>
      </c>
      <c r="E277" s="114" t="s">
        <v>12</v>
      </c>
      <c r="F277" s="114" t="s">
        <v>217</v>
      </c>
      <c r="G277" s="114">
        <v>2024</v>
      </c>
      <c r="H277" s="118">
        <f>I277+K277+L277+M277</f>
        <v>729.34</v>
      </c>
      <c r="I277" s="118">
        <v>0</v>
      </c>
      <c r="J277" s="96" t="s">
        <v>6</v>
      </c>
      <c r="K277" s="95">
        <f>K278</f>
        <v>729.34</v>
      </c>
      <c r="L277" s="95">
        <f t="shared" ref="L277:M277" si="79">L278</f>
        <v>0</v>
      </c>
      <c r="M277" s="95">
        <f t="shared" si="79"/>
        <v>0</v>
      </c>
    </row>
    <row r="278" spans="1:13" s="10" customFormat="1" ht="26.25" customHeight="1" x14ac:dyDescent="0.25">
      <c r="A278" s="122"/>
      <c r="B278" s="112"/>
      <c r="C278" s="122"/>
      <c r="D278" s="122"/>
      <c r="E278" s="122"/>
      <c r="F278" s="115"/>
      <c r="G278" s="115"/>
      <c r="H278" s="119"/>
      <c r="I278" s="119"/>
      <c r="J278" s="96" t="s">
        <v>8</v>
      </c>
      <c r="K278" s="95">
        <v>729.34</v>
      </c>
      <c r="L278" s="95">
        <v>0</v>
      </c>
      <c r="M278" s="95">
        <v>0</v>
      </c>
    </row>
    <row r="279" spans="1:13" s="10" customFormat="1" ht="15.75" x14ac:dyDescent="0.25">
      <c r="A279" s="122"/>
      <c r="B279" s="112"/>
      <c r="C279" s="122"/>
      <c r="D279" s="115"/>
      <c r="E279" s="122"/>
      <c r="F279" s="114" t="s">
        <v>11</v>
      </c>
      <c r="G279" s="114" t="s">
        <v>64</v>
      </c>
      <c r="H279" s="118">
        <f>I279+K279+L279+M279</f>
        <v>112857.85</v>
      </c>
      <c r="I279" s="118">
        <f>32.9+21.57</f>
        <v>54.47</v>
      </c>
      <c r="J279" s="96" t="s">
        <v>6</v>
      </c>
      <c r="K279" s="28">
        <f>K281+K280</f>
        <v>105343.08</v>
      </c>
      <c r="L279" s="28">
        <f t="shared" ref="L279:M279" si="80">L281+L280</f>
        <v>7460.3</v>
      </c>
      <c r="M279" s="28">
        <f t="shared" si="80"/>
        <v>0</v>
      </c>
    </row>
    <row r="280" spans="1:13" s="10" customFormat="1" ht="15.75" x14ac:dyDescent="0.25">
      <c r="A280" s="122"/>
      <c r="B280" s="112"/>
      <c r="C280" s="122"/>
      <c r="D280" s="114" t="s">
        <v>232</v>
      </c>
      <c r="E280" s="122"/>
      <c r="F280" s="122"/>
      <c r="G280" s="122"/>
      <c r="H280" s="120"/>
      <c r="I280" s="120"/>
      <c r="J280" s="96" t="s">
        <v>7</v>
      </c>
      <c r="K280" s="28">
        <v>52671.54</v>
      </c>
      <c r="L280" s="28">
        <v>3730.15</v>
      </c>
      <c r="M280" s="28">
        <v>0</v>
      </c>
    </row>
    <row r="281" spans="1:13" s="10" customFormat="1" ht="15.75" x14ac:dyDescent="0.25">
      <c r="A281" s="115"/>
      <c r="B281" s="113"/>
      <c r="C281" s="115"/>
      <c r="D281" s="115"/>
      <c r="E281" s="115"/>
      <c r="F281" s="115"/>
      <c r="G281" s="115"/>
      <c r="H281" s="119"/>
      <c r="I281" s="119"/>
      <c r="J281" s="96" t="s">
        <v>8</v>
      </c>
      <c r="K281" s="95">
        <f>52671.54+7460.28-7460.28</f>
        <v>52671.54</v>
      </c>
      <c r="L281" s="95">
        <v>3730.15</v>
      </c>
      <c r="M281" s="95">
        <v>0</v>
      </c>
    </row>
    <row r="282" spans="1:13" s="8" customFormat="1" ht="15.75" x14ac:dyDescent="0.25">
      <c r="A282" s="124" t="s">
        <v>87</v>
      </c>
      <c r="B282" s="124"/>
      <c r="C282" s="124"/>
      <c r="D282" s="124"/>
      <c r="E282" s="124"/>
      <c r="F282" s="124"/>
      <c r="G282" s="124"/>
      <c r="H282" s="124"/>
      <c r="I282" s="124"/>
      <c r="J282" s="7" t="s">
        <v>6</v>
      </c>
      <c r="K282" s="3">
        <f t="shared" ref="K282:L282" si="81">K283+K284</f>
        <v>2470.42</v>
      </c>
      <c r="L282" s="3">
        <f t="shared" si="81"/>
        <v>49674.759999999995</v>
      </c>
      <c r="M282" s="3">
        <f t="shared" ref="M282" si="82">M283+M284</f>
        <v>65093.91</v>
      </c>
    </row>
    <row r="283" spans="1:13" s="8" customFormat="1" ht="15.75" x14ac:dyDescent="0.25">
      <c r="A283" s="124"/>
      <c r="B283" s="124"/>
      <c r="C283" s="124"/>
      <c r="D283" s="124"/>
      <c r="E283" s="124"/>
      <c r="F283" s="124"/>
      <c r="G283" s="124"/>
      <c r="H283" s="124"/>
      <c r="I283" s="124"/>
      <c r="J283" s="7" t="s">
        <v>7</v>
      </c>
      <c r="K283" s="3">
        <v>0</v>
      </c>
      <c r="L283" s="3">
        <v>0</v>
      </c>
      <c r="M283" s="3">
        <v>0</v>
      </c>
    </row>
    <row r="284" spans="1:13" s="8" customFormat="1" ht="15.75" x14ac:dyDescent="0.25">
      <c r="A284" s="124"/>
      <c r="B284" s="124"/>
      <c r="C284" s="124"/>
      <c r="D284" s="124"/>
      <c r="E284" s="124"/>
      <c r="F284" s="124"/>
      <c r="G284" s="124"/>
      <c r="H284" s="124"/>
      <c r="I284" s="124"/>
      <c r="J284" s="7" t="s">
        <v>8</v>
      </c>
      <c r="K284" s="3">
        <f>K286+K288+K290+K292+K294+K296+K300+K304+K306+K308+K310+K298+K302</f>
        <v>2470.42</v>
      </c>
      <c r="L284" s="3">
        <f t="shared" ref="L284:M284" si="83">L286+L288+L290+L292+L294+L296+L300+L304+L306+L308+L310+L298+L302</f>
        <v>49674.759999999995</v>
      </c>
      <c r="M284" s="3">
        <f t="shared" si="83"/>
        <v>65093.91</v>
      </c>
    </row>
    <row r="285" spans="1:13" s="1" customFormat="1" ht="22.5" customHeight="1" x14ac:dyDescent="0.25">
      <c r="A285" s="108" t="s">
        <v>154</v>
      </c>
      <c r="B285" s="125" t="s">
        <v>320</v>
      </c>
      <c r="C285" s="114" t="s">
        <v>294</v>
      </c>
      <c r="D285" s="42" t="s">
        <v>27</v>
      </c>
      <c r="E285" s="108" t="s">
        <v>12</v>
      </c>
      <c r="F285" s="103" t="s">
        <v>11</v>
      </c>
      <c r="G285" s="105">
        <v>2026</v>
      </c>
      <c r="H285" s="106">
        <f>I285+K285+L285+M285</f>
        <v>65093.91</v>
      </c>
      <c r="I285" s="107">
        <v>0</v>
      </c>
      <c r="J285" s="38" t="s">
        <v>6</v>
      </c>
      <c r="K285" s="37">
        <f>K286</f>
        <v>0</v>
      </c>
      <c r="L285" s="37">
        <f t="shared" ref="L285:M285" si="84">L286</f>
        <v>0</v>
      </c>
      <c r="M285" s="37">
        <f t="shared" si="84"/>
        <v>65093.91</v>
      </c>
    </row>
    <row r="286" spans="1:13" s="1" customFormat="1" ht="44.25" customHeight="1" x14ac:dyDescent="0.25">
      <c r="A286" s="110"/>
      <c r="B286" s="127"/>
      <c r="C286" s="115"/>
      <c r="D286" s="42" t="s">
        <v>65</v>
      </c>
      <c r="E286" s="110"/>
      <c r="F286" s="103"/>
      <c r="G286" s="105"/>
      <c r="H286" s="105"/>
      <c r="I286" s="107"/>
      <c r="J286" s="38" t="s">
        <v>8</v>
      </c>
      <c r="K286" s="37">
        <v>0</v>
      </c>
      <c r="L286" s="37">
        <v>0</v>
      </c>
      <c r="M286" s="37">
        <v>65093.91</v>
      </c>
    </row>
    <row r="287" spans="1:13" s="10" customFormat="1" ht="30.75" customHeight="1" x14ac:dyDescent="0.25">
      <c r="A287" s="114" t="s">
        <v>168</v>
      </c>
      <c r="B287" s="111" t="s">
        <v>99</v>
      </c>
      <c r="C287" s="114" t="s">
        <v>295</v>
      </c>
      <c r="D287" s="32" t="s">
        <v>27</v>
      </c>
      <c r="E287" s="114" t="s">
        <v>12</v>
      </c>
      <c r="F287" s="103" t="s">
        <v>15</v>
      </c>
      <c r="G287" s="103" t="s">
        <v>40</v>
      </c>
      <c r="H287" s="107">
        <f>I287+K287+L287+M287</f>
        <v>384.02</v>
      </c>
      <c r="I287" s="107">
        <v>253.81</v>
      </c>
      <c r="J287" s="39" t="s">
        <v>6</v>
      </c>
      <c r="K287" s="36">
        <f t="shared" ref="K287:M287" si="85">K288</f>
        <v>130.21</v>
      </c>
      <c r="L287" s="36">
        <f t="shared" si="85"/>
        <v>0</v>
      </c>
      <c r="M287" s="36">
        <f t="shared" si="85"/>
        <v>0</v>
      </c>
    </row>
    <row r="288" spans="1:13" s="10" customFormat="1" ht="30.75" customHeight="1" x14ac:dyDescent="0.25">
      <c r="A288" s="115"/>
      <c r="B288" s="113"/>
      <c r="C288" s="115"/>
      <c r="D288" s="32" t="s">
        <v>65</v>
      </c>
      <c r="E288" s="115"/>
      <c r="F288" s="103"/>
      <c r="G288" s="103"/>
      <c r="H288" s="103"/>
      <c r="I288" s="107"/>
      <c r="J288" s="39" t="s">
        <v>8</v>
      </c>
      <c r="K288" s="36">
        <f>277.63-147.42</f>
        <v>130.21</v>
      </c>
      <c r="L288" s="36">
        <v>0</v>
      </c>
      <c r="M288" s="36">
        <v>0</v>
      </c>
    </row>
    <row r="289" spans="1:13" s="10" customFormat="1" ht="20.25" customHeight="1" x14ac:dyDescent="0.25">
      <c r="A289" s="114" t="s">
        <v>169</v>
      </c>
      <c r="B289" s="111" t="s">
        <v>105</v>
      </c>
      <c r="C289" s="114" t="s">
        <v>296</v>
      </c>
      <c r="D289" s="48" t="s">
        <v>27</v>
      </c>
      <c r="E289" s="114" t="s">
        <v>12</v>
      </c>
      <c r="F289" s="103" t="s">
        <v>15</v>
      </c>
      <c r="G289" s="103" t="s">
        <v>101</v>
      </c>
      <c r="H289" s="107">
        <f>I289+K289+L289+M289</f>
        <v>22424.94</v>
      </c>
      <c r="I289" s="107">
        <v>253.81</v>
      </c>
      <c r="J289" s="39" t="s">
        <v>6</v>
      </c>
      <c r="K289" s="49">
        <f t="shared" ref="K289:M295" si="86">K290</f>
        <v>277.63</v>
      </c>
      <c r="L289" s="49">
        <f t="shared" si="86"/>
        <v>21893.5</v>
      </c>
      <c r="M289" s="49">
        <f t="shared" si="86"/>
        <v>0</v>
      </c>
    </row>
    <row r="290" spans="1:13" s="10" customFormat="1" ht="45" customHeight="1" x14ac:dyDescent="0.25">
      <c r="A290" s="115"/>
      <c r="B290" s="113"/>
      <c r="C290" s="115"/>
      <c r="D290" s="47" t="s">
        <v>65</v>
      </c>
      <c r="E290" s="115"/>
      <c r="F290" s="103"/>
      <c r="G290" s="103"/>
      <c r="H290" s="103"/>
      <c r="I290" s="107"/>
      <c r="J290" s="39" t="s">
        <v>8</v>
      </c>
      <c r="K290" s="49">
        <v>277.63</v>
      </c>
      <c r="L290" s="49">
        <v>21893.5</v>
      </c>
      <c r="M290" s="49">
        <v>0</v>
      </c>
    </row>
    <row r="291" spans="1:13" s="10" customFormat="1" ht="20.25" customHeight="1" x14ac:dyDescent="0.25">
      <c r="A291" s="114" t="s">
        <v>170</v>
      </c>
      <c r="B291" s="111" t="s">
        <v>106</v>
      </c>
      <c r="C291" s="114" t="s">
        <v>297</v>
      </c>
      <c r="D291" s="69" t="s">
        <v>27</v>
      </c>
      <c r="E291" s="114" t="s">
        <v>12</v>
      </c>
      <c r="F291" s="103" t="s">
        <v>15</v>
      </c>
      <c r="G291" s="103" t="s">
        <v>101</v>
      </c>
      <c r="H291" s="107">
        <f>I291+K291+L291+M291</f>
        <v>28312.699999999997</v>
      </c>
      <c r="I291" s="107">
        <v>253.81</v>
      </c>
      <c r="J291" s="39" t="s">
        <v>6</v>
      </c>
      <c r="K291" s="73">
        <f t="shared" si="86"/>
        <v>277.63</v>
      </c>
      <c r="L291" s="73">
        <f t="shared" si="86"/>
        <v>27781.26</v>
      </c>
      <c r="M291" s="73">
        <f t="shared" si="86"/>
        <v>0</v>
      </c>
    </row>
    <row r="292" spans="1:13" s="10" customFormat="1" ht="42" customHeight="1" x14ac:dyDescent="0.25">
      <c r="A292" s="115"/>
      <c r="B292" s="113"/>
      <c r="C292" s="115"/>
      <c r="D292" s="70" t="s">
        <v>65</v>
      </c>
      <c r="E292" s="115"/>
      <c r="F292" s="103"/>
      <c r="G292" s="103"/>
      <c r="H292" s="103"/>
      <c r="I292" s="107"/>
      <c r="J292" s="39" t="s">
        <v>8</v>
      </c>
      <c r="K292" s="73">
        <v>277.63</v>
      </c>
      <c r="L292" s="73">
        <v>27781.26</v>
      </c>
      <c r="M292" s="73">
        <v>0</v>
      </c>
    </row>
    <row r="293" spans="1:13" s="10" customFormat="1" ht="20.25" customHeight="1" x14ac:dyDescent="0.25">
      <c r="A293" s="114" t="s">
        <v>171</v>
      </c>
      <c r="B293" s="125" t="s">
        <v>107</v>
      </c>
      <c r="C293" s="108" t="s">
        <v>298</v>
      </c>
      <c r="D293" s="32" t="s">
        <v>27</v>
      </c>
      <c r="E293" s="114" t="s">
        <v>12</v>
      </c>
      <c r="F293" s="103" t="s">
        <v>15</v>
      </c>
      <c r="G293" s="103" t="s">
        <v>40</v>
      </c>
      <c r="H293" s="107">
        <f>I293+K293+L293+M293</f>
        <v>170.25</v>
      </c>
      <c r="I293" s="107">
        <v>0</v>
      </c>
      <c r="J293" s="39" t="s">
        <v>6</v>
      </c>
      <c r="K293" s="36">
        <f t="shared" si="86"/>
        <v>170.25</v>
      </c>
      <c r="L293" s="36">
        <f t="shared" si="86"/>
        <v>0</v>
      </c>
      <c r="M293" s="36">
        <f t="shared" si="86"/>
        <v>0</v>
      </c>
    </row>
    <row r="294" spans="1:13" s="10" customFormat="1" ht="44.25" customHeight="1" x14ac:dyDescent="0.25">
      <c r="A294" s="115"/>
      <c r="B294" s="127"/>
      <c r="C294" s="110"/>
      <c r="D294" s="32" t="s">
        <v>65</v>
      </c>
      <c r="E294" s="115"/>
      <c r="F294" s="103"/>
      <c r="G294" s="103"/>
      <c r="H294" s="103"/>
      <c r="I294" s="107"/>
      <c r="J294" s="39" t="s">
        <v>8</v>
      </c>
      <c r="K294" s="36">
        <v>170.25</v>
      </c>
      <c r="L294" s="36">
        <v>0</v>
      </c>
      <c r="M294" s="36">
        <v>0</v>
      </c>
    </row>
    <row r="295" spans="1:13" s="10" customFormat="1" ht="20.25" customHeight="1" x14ac:dyDescent="0.25">
      <c r="A295" s="114" t="s">
        <v>172</v>
      </c>
      <c r="B295" s="125" t="s">
        <v>108</v>
      </c>
      <c r="C295" s="108" t="s">
        <v>299</v>
      </c>
      <c r="D295" s="32" t="s">
        <v>27</v>
      </c>
      <c r="E295" s="114" t="s">
        <v>12</v>
      </c>
      <c r="F295" s="103" t="s">
        <v>15</v>
      </c>
      <c r="G295" s="103" t="s">
        <v>40</v>
      </c>
      <c r="H295" s="107">
        <f>I295+K295+L295+M295</f>
        <v>531.44000000000005</v>
      </c>
      <c r="I295" s="107">
        <v>253.81</v>
      </c>
      <c r="J295" s="39" t="s">
        <v>6</v>
      </c>
      <c r="K295" s="36">
        <f t="shared" si="86"/>
        <v>277.63</v>
      </c>
      <c r="L295" s="36">
        <f t="shared" si="86"/>
        <v>0</v>
      </c>
      <c r="M295" s="36">
        <f t="shared" si="86"/>
        <v>0</v>
      </c>
    </row>
    <row r="296" spans="1:13" s="10" customFormat="1" ht="47.25" customHeight="1" x14ac:dyDescent="0.25">
      <c r="A296" s="115"/>
      <c r="B296" s="127"/>
      <c r="C296" s="110"/>
      <c r="D296" s="32" t="s">
        <v>65</v>
      </c>
      <c r="E296" s="115"/>
      <c r="F296" s="103"/>
      <c r="G296" s="103"/>
      <c r="H296" s="103"/>
      <c r="I296" s="107"/>
      <c r="J296" s="39" t="s">
        <v>8</v>
      </c>
      <c r="K296" s="36">
        <v>277.63</v>
      </c>
      <c r="L296" s="36">
        <v>0</v>
      </c>
      <c r="M296" s="36">
        <v>0</v>
      </c>
    </row>
    <row r="297" spans="1:13" s="10" customFormat="1" ht="23.25" customHeight="1" x14ac:dyDescent="0.25">
      <c r="A297" s="114" t="s">
        <v>173</v>
      </c>
      <c r="B297" s="125" t="s">
        <v>109</v>
      </c>
      <c r="C297" s="108" t="s">
        <v>300</v>
      </c>
      <c r="D297" s="114" t="s">
        <v>27</v>
      </c>
      <c r="E297" s="114" t="s">
        <v>12</v>
      </c>
      <c r="F297" s="114" t="s">
        <v>19</v>
      </c>
      <c r="G297" s="114" t="s">
        <v>14</v>
      </c>
      <c r="H297" s="107">
        <f>I297+K297+L297+M297</f>
        <v>2307.44</v>
      </c>
      <c r="I297" s="118">
        <v>2293.11</v>
      </c>
      <c r="J297" s="39" t="s">
        <v>6</v>
      </c>
      <c r="K297" s="68">
        <f t="shared" ref="K297:M299" si="87">K298</f>
        <v>14.33</v>
      </c>
      <c r="L297" s="68">
        <f t="shared" si="87"/>
        <v>0</v>
      </c>
      <c r="M297" s="68">
        <f t="shared" si="87"/>
        <v>0</v>
      </c>
    </row>
    <row r="298" spans="1:13" s="10" customFormat="1" ht="26.25" customHeight="1" x14ac:dyDescent="0.25">
      <c r="A298" s="122"/>
      <c r="B298" s="126"/>
      <c r="C298" s="109"/>
      <c r="D298" s="122"/>
      <c r="E298" s="122"/>
      <c r="F298" s="115"/>
      <c r="G298" s="115"/>
      <c r="H298" s="103"/>
      <c r="I298" s="119"/>
      <c r="J298" s="39" t="s">
        <v>8</v>
      </c>
      <c r="K298" s="73">
        <v>14.33</v>
      </c>
      <c r="L298" s="68">
        <v>0</v>
      </c>
      <c r="M298" s="68">
        <v>0</v>
      </c>
    </row>
    <row r="299" spans="1:13" s="10" customFormat="1" ht="20.25" customHeight="1" x14ac:dyDescent="0.25">
      <c r="A299" s="122"/>
      <c r="B299" s="126"/>
      <c r="C299" s="109"/>
      <c r="D299" s="115"/>
      <c r="E299" s="122"/>
      <c r="F299" s="103" t="s">
        <v>15</v>
      </c>
      <c r="G299" s="103" t="s">
        <v>40</v>
      </c>
      <c r="H299" s="107">
        <f>I299+K299+L299+M299</f>
        <v>531.44000000000005</v>
      </c>
      <c r="I299" s="107">
        <v>253.81</v>
      </c>
      <c r="J299" s="39" t="s">
        <v>6</v>
      </c>
      <c r="K299" s="36">
        <f t="shared" si="87"/>
        <v>277.63</v>
      </c>
      <c r="L299" s="36">
        <f t="shared" si="87"/>
        <v>0</v>
      </c>
      <c r="M299" s="36">
        <f t="shared" si="87"/>
        <v>0</v>
      </c>
    </row>
    <row r="300" spans="1:13" s="10" customFormat="1" ht="23.25" customHeight="1" x14ac:dyDescent="0.25">
      <c r="A300" s="115"/>
      <c r="B300" s="127"/>
      <c r="C300" s="110"/>
      <c r="D300" s="32" t="s">
        <v>65</v>
      </c>
      <c r="E300" s="115"/>
      <c r="F300" s="103"/>
      <c r="G300" s="103"/>
      <c r="H300" s="103"/>
      <c r="I300" s="107"/>
      <c r="J300" s="39" t="s">
        <v>8</v>
      </c>
      <c r="K300" s="36">
        <f>277.63</f>
        <v>277.63</v>
      </c>
      <c r="L300" s="36">
        <v>0</v>
      </c>
      <c r="M300" s="36">
        <v>0</v>
      </c>
    </row>
    <row r="301" spans="1:13" s="10" customFormat="1" ht="33" customHeight="1" x14ac:dyDescent="0.25">
      <c r="A301" s="114" t="s">
        <v>174</v>
      </c>
      <c r="B301" s="125" t="s">
        <v>110</v>
      </c>
      <c r="C301" s="108" t="s">
        <v>301</v>
      </c>
      <c r="D301" s="114" t="s">
        <v>27</v>
      </c>
      <c r="E301" s="114" t="s">
        <v>12</v>
      </c>
      <c r="F301" s="114" t="s">
        <v>19</v>
      </c>
      <c r="G301" s="114" t="s">
        <v>14</v>
      </c>
      <c r="H301" s="107">
        <f>I301+K301+L301+M301</f>
        <v>1771.1999999999998</v>
      </c>
      <c r="I301" s="114">
        <v>1638.11</v>
      </c>
      <c r="J301" s="39" t="s">
        <v>6</v>
      </c>
      <c r="K301" s="68">
        <f>K302</f>
        <v>133.09</v>
      </c>
      <c r="L301" s="68">
        <f t="shared" ref="L301:M301" si="88">L302</f>
        <v>0</v>
      </c>
      <c r="M301" s="68">
        <f t="shared" si="88"/>
        <v>0</v>
      </c>
    </row>
    <row r="302" spans="1:13" s="10" customFormat="1" ht="15.75" x14ac:dyDescent="0.25">
      <c r="A302" s="122"/>
      <c r="B302" s="126"/>
      <c r="C302" s="109"/>
      <c r="D302" s="122"/>
      <c r="E302" s="122"/>
      <c r="F302" s="115"/>
      <c r="G302" s="115"/>
      <c r="H302" s="103"/>
      <c r="I302" s="115"/>
      <c r="J302" s="39" t="s">
        <v>8</v>
      </c>
      <c r="K302" s="73">
        <v>133.09</v>
      </c>
      <c r="L302" s="68">
        <v>0</v>
      </c>
      <c r="M302" s="68">
        <v>0</v>
      </c>
    </row>
    <row r="303" spans="1:13" s="10" customFormat="1" ht="20.25" customHeight="1" x14ac:dyDescent="0.25">
      <c r="A303" s="122"/>
      <c r="B303" s="126"/>
      <c r="C303" s="109"/>
      <c r="D303" s="115"/>
      <c r="E303" s="122"/>
      <c r="F303" s="103" t="s">
        <v>15</v>
      </c>
      <c r="G303" s="103" t="s">
        <v>40</v>
      </c>
      <c r="H303" s="107">
        <f>I303+K303+L303+M303</f>
        <v>531.44000000000005</v>
      </c>
      <c r="I303" s="107">
        <v>253.81</v>
      </c>
      <c r="J303" s="39" t="s">
        <v>6</v>
      </c>
      <c r="K303" s="36">
        <f t="shared" ref="K303:M303" si="89">K304</f>
        <v>277.63</v>
      </c>
      <c r="L303" s="36">
        <f t="shared" si="89"/>
        <v>0</v>
      </c>
      <c r="M303" s="36">
        <f t="shared" si="89"/>
        <v>0</v>
      </c>
    </row>
    <row r="304" spans="1:13" s="10" customFormat="1" ht="18.75" customHeight="1" x14ac:dyDescent="0.25">
      <c r="A304" s="115"/>
      <c r="B304" s="127"/>
      <c r="C304" s="110"/>
      <c r="D304" s="32" t="s">
        <v>65</v>
      </c>
      <c r="E304" s="115"/>
      <c r="F304" s="103"/>
      <c r="G304" s="103"/>
      <c r="H304" s="103"/>
      <c r="I304" s="107"/>
      <c r="J304" s="39" t="s">
        <v>8</v>
      </c>
      <c r="K304" s="73">
        <f>277.63</f>
        <v>277.63</v>
      </c>
      <c r="L304" s="36">
        <v>0</v>
      </c>
      <c r="M304" s="36">
        <v>0</v>
      </c>
    </row>
    <row r="305" spans="1:13" s="10" customFormat="1" ht="20.25" customHeight="1" x14ac:dyDescent="0.25">
      <c r="A305" s="122" t="s">
        <v>185</v>
      </c>
      <c r="B305" s="125" t="s">
        <v>111</v>
      </c>
      <c r="C305" s="108" t="s">
        <v>302</v>
      </c>
      <c r="D305" s="32" t="s">
        <v>27</v>
      </c>
      <c r="E305" s="114" t="s">
        <v>12</v>
      </c>
      <c r="F305" s="103" t="s">
        <v>15</v>
      </c>
      <c r="G305" s="103" t="s">
        <v>40</v>
      </c>
      <c r="H305" s="107">
        <f>I305+K305+L305+M305</f>
        <v>501.35</v>
      </c>
      <c r="I305" s="107">
        <v>223.72</v>
      </c>
      <c r="J305" s="39" t="s">
        <v>6</v>
      </c>
      <c r="K305" s="36">
        <f t="shared" ref="K305:M305" si="90">K306</f>
        <v>277.63</v>
      </c>
      <c r="L305" s="36">
        <f t="shared" si="90"/>
        <v>0</v>
      </c>
      <c r="M305" s="36">
        <f t="shared" si="90"/>
        <v>0</v>
      </c>
    </row>
    <row r="306" spans="1:13" s="10" customFormat="1" ht="41.25" customHeight="1" x14ac:dyDescent="0.25">
      <c r="A306" s="115"/>
      <c r="B306" s="127"/>
      <c r="C306" s="110"/>
      <c r="D306" s="32" t="s">
        <v>65</v>
      </c>
      <c r="E306" s="115"/>
      <c r="F306" s="103"/>
      <c r="G306" s="103"/>
      <c r="H306" s="103"/>
      <c r="I306" s="107"/>
      <c r="J306" s="39" t="s">
        <v>8</v>
      </c>
      <c r="K306" s="36">
        <v>277.63</v>
      </c>
      <c r="L306" s="36">
        <v>0</v>
      </c>
      <c r="M306" s="36">
        <v>0</v>
      </c>
    </row>
    <row r="307" spans="1:13" s="10" customFormat="1" ht="20.25" customHeight="1" x14ac:dyDescent="0.25">
      <c r="A307" s="114" t="s">
        <v>186</v>
      </c>
      <c r="B307" s="125" t="s">
        <v>112</v>
      </c>
      <c r="C307" s="108" t="s">
        <v>303</v>
      </c>
      <c r="D307" s="32" t="s">
        <v>27</v>
      </c>
      <c r="E307" s="114" t="s">
        <v>12</v>
      </c>
      <c r="F307" s="103" t="s">
        <v>15</v>
      </c>
      <c r="G307" s="103" t="s">
        <v>40</v>
      </c>
      <c r="H307" s="107">
        <f>I307+K307+L307+M307</f>
        <v>91.04</v>
      </c>
      <c r="I307" s="107">
        <v>0</v>
      </c>
      <c r="J307" s="39" t="s">
        <v>6</v>
      </c>
      <c r="K307" s="36">
        <f t="shared" ref="K307:M307" si="91">K308</f>
        <v>91.04</v>
      </c>
      <c r="L307" s="36">
        <f t="shared" si="91"/>
        <v>0</v>
      </c>
      <c r="M307" s="36">
        <f t="shared" si="91"/>
        <v>0</v>
      </c>
    </row>
    <row r="308" spans="1:13" s="10" customFormat="1" ht="41.25" customHeight="1" x14ac:dyDescent="0.25">
      <c r="A308" s="115"/>
      <c r="B308" s="127"/>
      <c r="C308" s="110"/>
      <c r="D308" s="32" t="s">
        <v>65</v>
      </c>
      <c r="E308" s="115"/>
      <c r="F308" s="103"/>
      <c r="G308" s="103"/>
      <c r="H308" s="103"/>
      <c r="I308" s="107"/>
      <c r="J308" s="39" t="s">
        <v>8</v>
      </c>
      <c r="K308" s="36">
        <v>91.04</v>
      </c>
      <c r="L308" s="36">
        <v>0</v>
      </c>
      <c r="M308" s="36">
        <v>0</v>
      </c>
    </row>
    <row r="309" spans="1:13" s="10" customFormat="1" ht="15.75" x14ac:dyDescent="0.25">
      <c r="A309" s="103" t="s">
        <v>196</v>
      </c>
      <c r="B309" s="123" t="s">
        <v>113</v>
      </c>
      <c r="C309" s="103" t="s">
        <v>304</v>
      </c>
      <c r="D309" s="30" t="s">
        <v>27</v>
      </c>
      <c r="E309" s="103" t="s">
        <v>12</v>
      </c>
      <c r="F309" s="103" t="s">
        <v>15</v>
      </c>
      <c r="G309" s="103" t="s">
        <v>40</v>
      </c>
      <c r="H309" s="107">
        <f>I309+K309+L309+M309</f>
        <v>531.44000000000005</v>
      </c>
      <c r="I309" s="107">
        <v>265.72000000000003</v>
      </c>
      <c r="J309" s="39" t="s">
        <v>6</v>
      </c>
      <c r="K309" s="36">
        <f t="shared" ref="K309:M309" si="92">K310</f>
        <v>265.72000000000003</v>
      </c>
      <c r="L309" s="36">
        <f t="shared" si="92"/>
        <v>0</v>
      </c>
      <c r="M309" s="36">
        <f t="shared" si="92"/>
        <v>0</v>
      </c>
    </row>
    <row r="310" spans="1:13" s="10" customFormat="1" ht="47.25" customHeight="1" x14ac:dyDescent="0.25">
      <c r="A310" s="103"/>
      <c r="B310" s="123"/>
      <c r="C310" s="103"/>
      <c r="D310" s="30" t="s">
        <v>65</v>
      </c>
      <c r="E310" s="103"/>
      <c r="F310" s="103"/>
      <c r="G310" s="103"/>
      <c r="H310" s="103"/>
      <c r="I310" s="107"/>
      <c r="J310" s="39" t="s">
        <v>8</v>
      </c>
      <c r="K310" s="36">
        <v>265.72000000000003</v>
      </c>
      <c r="L310" s="36">
        <v>0</v>
      </c>
      <c r="M310" s="36">
        <v>0</v>
      </c>
    </row>
    <row r="311" spans="1:13" s="8" customFormat="1" ht="15.75" x14ac:dyDescent="0.25">
      <c r="A311" s="124" t="s">
        <v>146</v>
      </c>
      <c r="B311" s="124"/>
      <c r="C311" s="124"/>
      <c r="D311" s="124"/>
      <c r="E311" s="124"/>
      <c r="F311" s="124"/>
      <c r="G311" s="124"/>
      <c r="H311" s="124"/>
      <c r="I311" s="124"/>
      <c r="J311" s="7" t="s">
        <v>6</v>
      </c>
      <c r="K311" s="3">
        <f t="shared" ref="K311:M311" si="93">K312+K313</f>
        <v>17843.86</v>
      </c>
      <c r="L311" s="3">
        <f t="shared" si="93"/>
        <v>10236.15</v>
      </c>
      <c r="M311" s="3">
        <f t="shared" si="93"/>
        <v>0</v>
      </c>
    </row>
    <row r="312" spans="1:13" s="8" customFormat="1" ht="15.75" x14ac:dyDescent="0.25">
      <c r="A312" s="124"/>
      <c r="B312" s="124"/>
      <c r="C312" s="124"/>
      <c r="D312" s="124"/>
      <c r="E312" s="124"/>
      <c r="F312" s="124"/>
      <c r="G312" s="124"/>
      <c r="H312" s="124"/>
      <c r="I312" s="124"/>
      <c r="J312" s="7" t="s">
        <v>7</v>
      </c>
      <c r="K312" s="3">
        <v>0</v>
      </c>
      <c r="L312" s="3">
        <v>0</v>
      </c>
      <c r="M312" s="3">
        <v>0</v>
      </c>
    </row>
    <row r="313" spans="1:13" s="8" customFormat="1" ht="15.75" x14ac:dyDescent="0.25">
      <c r="A313" s="124"/>
      <c r="B313" s="124"/>
      <c r="C313" s="124"/>
      <c r="D313" s="124"/>
      <c r="E313" s="124"/>
      <c r="F313" s="124"/>
      <c r="G313" s="124"/>
      <c r="H313" s="124"/>
      <c r="I313" s="124"/>
      <c r="J313" s="7" t="s">
        <v>8</v>
      </c>
      <c r="K313" s="3">
        <f>K315+K317+K319+K321</f>
        <v>17843.86</v>
      </c>
      <c r="L313" s="3">
        <f t="shared" ref="L313:M313" si="94">L315+L317+L319+L321</f>
        <v>10236.15</v>
      </c>
      <c r="M313" s="3">
        <f t="shared" si="94"/>
        <v>0</v>
      </c>
    </row>
    <row r="314" spans="1:13" s="10" customFormat="1" ht="22.5" customHeight="1" x14ac:dyDescent="0.25">
      <c r="A314" s="114" t="s">
        <v>197</v>
      </c>
      <c r="B314" s="111" t="s">
        <v>144</v>
      </c>
      <c r="C314" s="114" t="s">
        <v>305</v>
      </c>
      <c r="D314" s="92" t="s">
        <v>218</v>
      </c>
      <c r="E314" s="114" t="s">
        <v>12</v>
      </c>
      <c r="F314" s="103" t="s">
        <v>60</v>
      </c>
      <c r="G314" s="103">
        <v>2025</v>
      </c>
      <c r="H314" s="107">
        <f>I314+K314+L314+M314</f>
        <v>6805.95</v>
      </c>
      <c r="I314" s="107">
        <v>0</v>
      </c>
      <c r="J314" s="96" t="s">
        <v>6</v>
      </c>
      <c r="K314" s="95">
        <f>K315</f>
        <v>0</v>
      </c>
      <c r="L314" s="95">
        <f t="shared" ref="L314:M316" si="95">L315</f>
        <v>6805.95</v>
      </c>
      <c r="M314" s="95">
        <f t="shared" si="95"/>
        <v>0</v>
      </c>
    </row>
    <row r="315" spans="1:13" s="10" customFormat="1" ht="44.25" customHeight="1" x14ac:dyDescent="0.25">
      <c r="A315" s="115"/>
      <c r="B315" s="113"/>
      <c r="C315" s="115"/>
      <c r="D315" s="92" t="s">
        <v>219</v>
      </c>
      <c r="E315" s="115"/>
      <c r="F315" s="103"/>
      <c r="G315" s="103"/>
      <c r="H315" s="103"/>
      <c r="I315" s="107"/>
      <c r="J315" s="96" t="s">
        <v>8</v>
      </c>
      <c r="K315" s="95">
        <v>0</v>
      </c>
      <c r="L315" s="95">
        <v>6805.95</v>
      </c>
      <c r="M315" s="95">
        <v>0</v>
      </c>
    </row>
    <row r="316" spans="1:13" s="10" customFormat="1" ht="22.5" customHeight="1" x14ac:dyDescent="0.25">
      <c r="A316" s="103" t="s">
        <v>198</v>
      </c>
      <c r="B316" s="104" t="s">
        <v>155</v>
      </c>
      <c r="C316" s="103" t="s">
        <v>306</v>
      </c>
      <c r="D316" s="93" t="s">
        <v>27</v>
      </c>
      <c r="E316" s="103" t="s">
        <v>12</v>
      </c>
      <c r="F316" s="103" t="s">
        <v>60</v>
      </c>
      <c r="G316" s="103" t="s">
        <v>72</v>
      </c>
      <c r="H316" s="107">
        <f>I316+K316+L316+M316</f>
        <v>3751.8599999999997</v>
      </c>
      <c r="I316" s="107">
        <v>0</v>
      </c>
      <c r="J316" s="96" t="s">
        <v>6</v>
      </c>
      <c r="K316" s="95">
        <f>K317</f>
        <v>321.65999999999997</v>
      </c>
      <c r="L316" s="95">
        <f t="shared" si="95"/>
        <v>3430.2</v>
      </c>
      <c r="M316" s="95">
        <f t="shared" si="95"/>
        <v>0</v>
      </c>
    </row>
    <row r="317" spans="1:13" s="10" customFormat="1" ht="44.25" customHeight="1" x14ac:dyDescent="0.25">
      <c r="A317" s="103"/>
      <c r="B317" s="104"/>
      <c r="C317" s="103"/>
      <c r="D317" s="93" t="s">
        <v>65</v>
      </c>
      <c r="E317" s="103"/>
      <c r="F317" s="103"/>
      <c r="G317" s="103"/>
      <c r="H317" s="103"/>
      <c r="I317" s="107"/>
      <c r="J317" s="96" t="s">
        <v>8</v>
      </c>
      <c r="K317" s="95">
        <f>919.66-598</f>
        <v>321.65999999999997</v>
      </c>
      <c r="L317" s="95">
        <f>2832.2+598</f>
        <v>3430.2</v>
      </c>
      <c r="M317" s="95">
        <v>0</v>
      </c>
    </row>
    <row r="318" spans="1:13" s="10" customFormat="1" ht="22.5" customHeight="1" x14ac:dyDescent="0.25">
      <c r="A318" s="114" t="s">
        <v>199</v>
      </c>
      <c r="B318" s="111" t="s">
        <v>187</v>
      </c>
      <c r="C318" s="114" t="s">
        <v>307</v>
      </c>
      <c r="D318" s="114" t="s">
        <v>152</v>
      </c>
      <c r="E318" s="114" t="s">
        <v>10</v>
      </c>
      <c r="F318" s="103" t="s">
        <v>153</v>
      </c>
      <c r="G318" s="103">
        <v>2024</v>
      </c>
      <c r="H318" s="107">
        <f>I318+K318+L318+M318</f>
        <v>5092.2</v>
      </c>
      <c r="I318" s="107">
        <v>0</v>
      </c>
      <c r="J318" s="39" t="s">
        <v>6</v>
      </c>
      <c r="K318" s="53">
        <f>K319</f>
        <v>5092.2</v>
      </c>
      <c r="L318" s="53">
        <f t="shared" ref="L318:M320" si="96">L319</f>
        <v>0</v>
      </c>
      <c r="M318" s="53">
        <f t="shared" si="96"/>
        <v>0</v>
      </c>
    </row>
    <row r="319" spans="1:13" s="10" customFormat="1" ht="58.5" customHeight="1" x14ac:dyDescent="0.25">
      <c r="A319" s="115"/>
      <c r="B319" s="113"/>
      <c r="C319" s="115"/>
      <c r="D319" s="115"/>
      <c r="E319" s="115"/>
      <c r="F319" s="103"/>
      <c r="G319" s="103"/>
      <c r="H319" s="103"/>
      <c r="I319" s="107"/>
      <c r="J319" s="39" t="s">
        <v>8</v>
      </c>
      <c r="K319" s="53">
        <v>5092.2</v>
      </c>
      <c r="L319" s="53">
        <v>0</v>
      </c>
      <c r="M319" s="53">
        <v>0</v>
      </c>
    </row>
    <row r="320" spans="1:13" s="10" customFormat="1" ht="22.5" customHeight="1" x14ac:dyDescent="0.25">
      <c r="A320" s="114" t="s">
        <v>200</v>
      </c>
      <c r="B320" s="111" t="s">
        <v>201</v>
      </c>
      <c r="C320" s="114" t="s">
        <v>308</v>
      </c>
      <c r="D320" s="114" t="s">
        <v>152</v>
      </c>
      <c r="E320" s="114" t="s">
        <v>10</v>
      </c>
      <c r="F320" s="103" t="s">
        <v>153</v>
      </c>
      <c r="G320" s="103">
        <v>2024</v>
      </c>
      <c r="H320" s="107">
        <f>I320+K320+L320+M320</f>
        <v>12430</v>
      </c>
      <c r="I320" s="107">
        <v>0</v>
      </c>
      <c r="J320" s="80" t="s">
        <v>6</v>
      </c>
      <c r="K320" s="78">
        <f>K321</f>
        <v>12430</v>
      </c>
      <c r="L320" s="78">
        <f t="shared" si="96"/>
        <v>0</v>
      </c>
      <c r="M320" s="78">
        <f t="shared" si="96"/>
        <v>0</v>
      </c>
    </row>
    <row r="321" spans="1:13" s="10" customFormat="1" ht="58.5" customHeight="1" x14ac:dyDescent="0.25">
      <c r="A321" s="115"/>
      <c r="B321" s="113"/>
      <c r="C321" s="115"/>
      <c r="D321" s="115"/>
      <c r="E321" s="115"/>
      <c r="F321" s="103"/>
      <c r="G321" s="103"/>
      <c r="H321" s="103"/>
      <c r="I321" s="107"/>
      <c r="J321" s="80" t="s">
        <v>8</v>
      </c>
      <c r="K321" s="78">
        <v>12430</v>
      </c>
      <c r="L321" s="78">
        <v>0</v>
      </c>
      <c r="M321" s="78">
        <v>0</v>
      </c>
    </row>
    <row r="322" spans="1:13" s="1" customFormat="1" ht="20.25" customHeight="1" x14ac:dyDescent="0.25">
      <c r="B322" s="26" t="s">
        <v>80</v>
      </c>
      <c r="C322" s="26"/>
      <c r="D322" s="26"/>
      <c r="E322" s="26"/>
      <c r="F322" s="26"/>
      <c r="G322" s="26"/>
      <c r="H322" s="26"/>
      <c r="I322" s="56"/>
      <c r="J322" s="26"/>
      <c r="K322" s="26"/>
      <c r="L322" s="26"/>
    </row>
    <row r="323" spans="1:13" s="1" customFormat="1" ht="15.75" x14ac:dyDescent="0.25">
      <c r="B323" s="136"/>
      <c r="C323" s="136"/>
      <c r="D323" s="136"/>
      <c r="E323" s="136"/>
      <c r="F323" s="136"/>
      <c r="G323" s="136"/>
      <c r="H323" s="136"/>
      <c r="I323" s="136"/>
      <c r="J323" s="136"/>
      <c r="K323" s="136"/>
      <c r="L323" s="136"/>
    </row>
    <row r="324" spans="1:13" s="22" customFormat="1" ht="15.75" x14ac:dyDescent="0.25">
      <c r="B324" s="23"/>
      <c r="C324" s="23"/>
      <c r="D324" s="23"/>
      <c r="E324" s="23"/>
      <c r="F324" s="24"/>
      <c r="G324" s="23"/>
      <c r="H324" s="23"/>
      <c r="I324" s="23"/>
      <c r="J324" s="23"/>
      <c r="K324" s="23"/>
      <c r="L324" s="23"/>
    </row>
    <row r="325" spans="1:13" s="22" customFormat="1" ht="15.75" x14ac:dyDescent="0.25">
      <c r="B325" s="23"/>
      <c r="C325" s="23"/>
      <c r="D325" s="23"/>
      <c r="E325" s="23"/>
      <c r="F325" s="24"/>
      <c r="G325" s="23"/>
      <c r="H325" s="23"/>
      <c r="I325" s="23"/>
      <c r="J325" s="23"/>
      <c r="K325" s="23"/>
      <c r="L325" s="23"/>
    </row>
    <row r="326" spans="1:13" s="22" customFormat="1" ht="15.75" x14ac:dyDescent="0.25">
      <c r="B326" s="23"/>
      <c r="C326" s="23"/>
      <c r="D326" s="23"/>
      <c r="E326" s="23"/>
      <c r="F326" s="24"/>
      <c r="G326" s="23"/>
      <c r="H326" s="23"/>
      <c r="I326" s="23"/>
      <c r="J326" s="23"/>
      <c r="K326" s="23"/>
      <c r="L326" s="23"/>
    </row>
    <row r="327" spans="1:13" s="22" customFormat="1" x14ac:dyDescent="0.25">
      <c r="F327" s="25"/>
      <c r="I327" s="20"/>
    </row>
    <row r="328" spans="1:13" s="22" customFormat="1" x14ac:dyDescent="0.25">
      <c r="F328" s="25"/>
      <c r="I328" s="20"/>
    </row>
    <row r="329" spans="1:13" s="22" customFormat="1" x14ac:dyDescent="0.25">
      <c r="F329" s="25"/>
      <c r="I329" s="20"/>
    </row>
  </sheetData>
  <autoFilter ref="A10:P322"/>
  <mergeCells count="923">
    <mergeCell ref="A84:A88"/>
    <mergeCell ref="B84:B88"/>
    <mergeCell ref="C84:C88"/>
    <mergeCell ref="D84:D85"/>
    <mergeCell ref="E84:E88"/>
    <mergeCell ref="F84:F85"/>
    <mergeCell ref="G84:G85"/>
    <mergeCell ref="H84:H85"/>
    <mergeCell ref="I84:I85"/>
    <mergeCell ref="D86:D88"/>
    <mergeCell ref="I86:I88"/>
    <mergeCell ref="F158:F159"/>
    <mergeCell ref="G158:G159"/>
    <mergeCell ref="H158:H159"/>
    <mergeCell ref="I158:I159"/>
    <mergeCell ref="E23:E27"/>
    <mergeCell ref="F23:F24"/>
    <mergeCell ref="G23:G24"/>
    <mergeCell ref="H23:H24"/>
    <mergeCell ref="I23:I24"/>
    <mergeCell ref="E143:E146"/>
    <mergeCell ref="I79:I80"/>
    <mergeCell ref="F81:F83"/>
    <mergeCell ref="I130:I131"/>
    <mergeCell ref="F115:F117"/>
    <mergeCell ref="G115:G117"/>
    <mergeCell ref="F143:F144"/>
    <mergeCell ref="F145:F146"/>
    <mergeCell ref="G145:G146"/>
    <mergeCell ref="H145:H146"/>
    <mergeCell ref="I38:I40"/>
    <mergeCell ref="I46:I47"/>
    <mergeCell ref="G121:G123"/>
    <mergeCell ref="H121:H123"/>
    <mergeCell ref="I121:I123"/>
    <mergeCell ref="H199:H201"/>
    <mergeCell ref="I199:I201"/>
    <mergeCell ref="H215:H217"/>
    <mergeCell ref="G252:G254"/>
    <mergeCell ref="G213:G214"/>
    <mergeCell ref="H213:H214"/>
    <mergeCell ref="H205:H207"/>
    <mergeCell ref="G202:G204"/>
    <mergeCell ref="F86:F88"/>
    <mergeCell ref="G221:G223"/>
    <mergeCell ref="H221:H223"/>
    <mergeCell ref="I229:I231"/>
    <mergeCell ref="I236:I237"/>
    <mergeCell ref="I232:I233"/>
    <mergeCell ref="I185:I186"/>
    <mergeCell ref="I187:I188"/>
    <mergeCell ref="F189:F191"/>
    <mergeCell ref="F187:F188"/>
    <mergeCell ref="G194:G196"/>
    <mergeCell ref="G189:G191"/>
    <mergeCell ref="G86:G88"/>
    <mergeCell ref="H208:H210"/>
    <mergeCell ref="H187:H188"/>
    <mergeCell ref="H150:H152"/>
    <mergeCell ref="J221:J222"/>
    <mergeCell ref="E285:E286"/>
    <mergeCell ref="I211:I212"/>
    <mergeCell ref="H202:H204"/>
    <mergeCell ref="G211:G212"/>
    <mergeCell ref="H211:H212"/>
    <mergeCell ref="I202:I204"/>
    <mergeCell ref="I213:I214"/>
    <mergeCell ref="G250:G251"/>
    <mergeCell ref="I208:I210"/>
    <mergeCell ref="I205:I207"/>
    <mergeCell ref="I215:I217"/>
    <mergeCell ref="G208:G210"/>
    <mergeCell ref="H229:H231"/>
    <mergeCell ref="G224:G225"/>
    <mergeCell ref="H224:H225"/>
    <mergeCell ref="G229:G231"/>
    <mergeCell ref="F215:F217"/>
    <mergeCell ref="J218:J219"/>
    <mergeCell ref="F279:F281"/>
    <mergeCell ref="F285:F286"/>
    <mergeCell ref="G285:G286"/>
    <mergeCell ref="E269:E270"/>
    <mergeCell ref="F269:F270"/>
    <mergeCell ref="A287:A288"/>
    <mergeCell ref="B287:B288"/>
    <mergeCell ref="C287:C288"/>
    <mergeCell ref="A289:A290"/>
    <mergeCell ref="B289:B290"/>
    <mergeCell ref="H307:H308"/>
    <mergeCell ref="B307:B308"/>
    <mergeCell ref="C307:C308"/>
    <mergeCell ref="H303:H304"/>
    <mergeCell ref="A291:A292"/>
    <mergeCell ref="B291:B292"/>
    <mergeCell ref="C291:C292"/>
    <mergeCell ref="C293:C294"/>
    <mergeCell ref="A307:A308"/>
    <mergeCell ref="F301:F302"/>
    <mergeCell ref="G301:G302"/>
    <mergeCell ref="H301:H302"/>
    <mergeCell ref="C297:C300"/>
    <mergeCell ref="D297:D299"/>
    <mergeCell ref="F291:F292"/>
    <mergeCell ref="F293:F294"/>
    <mergeCell ref="H293:H294"/>
    <mergeCell ref="H295:H296"/>
    <mergeCell ref="H299:H300"/>
    <mergeCell ref="C285:C286"/>
    <mergeCell ref="I303:I304"/>
    <mergeCell ref="F305:F306"/>
    <mergeCell ref="I279:I281"/>
    <mergeCell ref="D277:D279"/>
    <mergeCell ref="A301:A304"/>
    <mergeCell ref="H259:H260"/>
    <mergeCell ref="I259:I260"/>
    <mergeCell ref="I221:I223"/>
    <mergeCell ref="E244:E247"/>
    <mergeCell ref="B301:B304"/>
    <mergeCell ref="C301:C304"/>
    <mergeCell ref="D301:D303"/>
    <mergeCell ref="E301:E304"/>
    <mergeCell ref="F303:F304"/>
    <mergeCell ref="G303:G304"/>
    <mergeCell ref="I252:I254"/>
    <mergeCell ref="I224:I225"/>
    <mergeCell ref="I248:I249"/>
    <mergeCell ref="I250:I251"/>
    <mergeCell ref="I238:I239"/>
    <mergeCell ref="I234:I235"/>
    <mergeCell ref="I244:I245"/>
    <mergeCell ref="G244:G245"/>
    <mergeCell ref="K221:K222"/>
    <mergeCell ref="L221:L222"/>
    <mergeCell ref="M221:M222"/>
    <mergeCell ref="A320:A321"/>
    <mergeCell ref="B320:B321"/>
    <mergeCell ref="C320:C321"/>
    <mergeCell ref="D320:D321"/>
    <mergeCell ref="E320:E321"/>
    <mergeCell ref="F320:F321"/>
    <mergeCell ref="G320:G321"/>
    <mergeCell ref="H320:H321"/>
    <mergeCell ref="I320:I321"/>
    <mergeCell ref="A257:A258"/>
    <mergeCell ref="B257:B258"/>
    <mergeCell ref="C257:C258"/>
    <mergeCell ref="E257:E258"/>
    <mergeCell ref="F257:F258"/>
    <mergeCell ref="G257:G258"/>
    <mergeCell ref="H257:H258"/>
    <mergeCell ref="I316:I317"/>
    <mergeCell ref="D280:D281"/>
    <mergeCell ref="A285:A286"/>
    <mergeCell ref="B285:B286"/>
    <mergeCell ref="E287:E288"/>
    <mergeCell ref="I194:I196"/>
    <mergeCell ref="F163:F164"/>
    <mergeCell ref="G163:G164"/>
    <mergeCell ref="H163:H164"/>
    <mergeCell ref="I163:I164"/>
    <mergeCell ref="G192:G193"/>
    <mergeCell ref="H192:H193"/>
    <mergeCell ref="I192:I193"/>
    <mergeCell ref="I174:I175"/>
    <mergeCell ref="I189:I191"/>
    <mergeCell ref="G185:G186"/>
    <mergeCell ref="G187:G188"/>
    <mergeCell ref="H176:H178"/>
    <mergeCell ref="F174:F175"/>
    <mergeCell ref="G174:G175"/>
    <mergeCell ref="G171:G173"/>
    <mergeCell ref="H171:H173"/>
    <mergeCell ref="H174:H175"/>
    <mergeCell ref="H189:H191"/>
    <mergeCell ref="F171:F173"/>
    <mergeCell ref="C115:C117"/>
    <mergeCell ref="B118:B120"/>
    <mergeCell ref="A141:A142"/>
    <mergeCell ref="B141:B142"/>
    <mergeCell ref="C141:C142"/>
    <mergeCell ref="E141:E142"/>
    <mergeCell ref="C138:C140"/>
    <mergeCell ref="D139:D140"/>
    <mergeCell ref="D128:D129"/>
    <mergeCell ref="A124:A126"/>
    <mergeCell ref="B124:B126"/>
    <mergeCell ref="C124:C126"/>
    <mergeCell ref="D124:D125"/>
    <mergeCell ref="E124:E126"/>
    <mergeCell ref="E138:E140"/>
    <mergeCell ref="D121:D122"/>
    <mergeCell ref="E121:E123"/>
    <mergeCell ref="D130:D131"/>
    <mergeCell ref="D133:D134"/>
    <mergeCell ref="D118:D119"/>
    <mergeCell ref="K218:K219"/>
    <mergeCell ref="L218:L219"/>
    <mergeCell ref="M218:M219"/>
    <mergeCell ref="A218:A220"/>
    <mergeCell ref="B218:B220"/>
    <mergeCell ref="C218:C220"/>
    <mergeCell ref="D218:D219"/>
    <mergeCell ref="E218:E220"/>
    <mergeCell ref="F218:F220"/>
    <mergeCell ref="G218:G220"/>
    <mergeCell ref="H218:H220"/>
    <mergeCell ref="I218:I220"/>
    <mergeCell ref="G197:G198"/>
    <mergeCell ref="H197:H198"/>
    <mergeCell ref="I197:I198"/>
    <mergeCell ref="E194:E198"/>
    <mergeCell ref="H185:H186"/>
    <mergeCell ref="G141:G142"/>
    <mergeCell ref="H194:H196"/>
    <mergeCell ref="H38:H40"/>
    <mergeCell ref="I171:I173"/>
    <mergeCell ref="I179:I184"/>
    <mergeCell ref="I168:I170"/>
    <mergeCell ref="I165:I167"/>
    <mergeCell ref="I115:I117"/>
    <mergeCell ref="A112:I114"/>
    <mergeCell ref="D136:D137"/>
    <mergeCell ref="D116:D117"/>
    <mergeCell ref="A118:A120"/>
    <mergeCell ref="G156:G157"/>
    <mergeCell ref="H141:H142"/>
    <mergeCell ref="I141:I142"/>
    <mergeCell ref="G147:G149"/>
    <mergeCell ref="F156:F157"/>
    <mergeCell ref="F121:F123"/>
    <mergeCell ref="B115:B117"/>
    <mergeCell ref="E176:E178"/>
    <mergeCell ref="E291:E292"/>
    <mergeCell ref="E293:E294"/>
    <mergeCell ref="H165:H167"/>
    <mergeCell ref="F160:F162"/>
    <mergeCell ref="G168:G170"/>
    <mergeCell ref="H168:H170"/>
    <mergeCell ref="G165:G167"/>
    <mergeCell ref="E168:E170"/>
    <mergeCell ref="G205:G207"/>
    <mergeCell ref="G215:G217"/>
    <mergeCell ref="F255:F256"/>
    <mergeCell ref="E240:E243"/>
    <mergeCell ref="H271:H272"/>
    <mergeCell ref="G238:G239"/>
    <mergeCell ref="E289:E290"/>
    <mergeCell ref="F289:F290"/>
    <mergeCell ref="F248:F249"/>
    <mergeCell ref="F244:F245"/>
    <mergeCell ref="F287:F288"/>
    <mergeCell ref="E185:E186"/>
    <mergeCell ref="G199:G201"/>
    <mergeCell ref="F224:F225"/>
    <mergeCell ref="F238:F239"/>
    <mergeCell ref="A168:A170"/>
    <mergeCell ref="A165:A167"/>
    <mergeCell ref="B165:B167"/>
    <mergeCell ref="C165:C167"/>
    <mergeCell ref="A153:A155"/>
    <mergeCell ref="E165:E167"/>
    <mergeCell ref="E160:E164"/>
    <mergeCell ref="B156:B159"/>
    <mergeCell ref="C156:C159"/>
    <mergeCell ref="D157:D159"/>
    <mergeCell ref="E156:E159"/>
    <mergeCell ref="B160:B164"/>
    <mergeCell ref="C160:C164"/>
    <mergeCell ref="D161:D164"/>
    <mergeCell ref="A156:A159"/>
    <mergeCell ref="E153:E155"/>
    <mergeCell ref="A89:A93"/>
    <mergeCell ref="D154:D155"/>
    <mergeCell ref="A176:A178"/>
    <mergeCell ref="B176:B178"/>
    <mergeCell ref="C176:C178"/>
    <mergeCell ref="A135:A137"/>
    <mergeCell ref="B135:B137"/>
    <mergeCell ref="C135:C137"/>
    <mergeCell ref="D106:D107"/>
    <mergeCell ref="B121:B123"/>
    <mergeCell ref="D165:D166"/>
    <mergeCell ref="A160:A164"/>
    <mergeCell ref="A127:A131"/>
    <mergeCell ref="B127:B131"/>
    <mergeCell ref="C127:C131"/>
    <mergeCell ref="C105:C107"/>
    <mergeCell ref="D168:D169"/>
    <mergeCell ref="D172:D175"/>
    <mergeCell ref="B153:B155"/>
    <mergeCell ref="C153:C155"/>
    <mergeCell ref="D145:D146"/>
    <mergeCell ref="C118:C120"/>
    <mergeCell ref="A121:A123"/>
    <mergeCell ref="A138:A140"/>
    <mergeCell ref="E171:E175"/>
    <mergeCell ref="D181:D182"/>
    <mergeCell ref="A171:A175"/>
    <mergeCell ref="B171:B175"/>
    <mergeCell ref="C199:C201"/>
    <mergeCell ref="F185:F186"/>
    <mergeCell ref="C185:C186"/>
    <mergeCell ref="B187:B188"/>
    <mergeCell ref="C187:C188"/>
    <mergeCell ref="F192:F193"/>
    <mergeCell ref="A189:A193"/>
    <mergeCell ref="B189:B193"/>
    <mergeCell ref="C189:C193"/>
    <mergeCell ref="D190:D193"/>
    <mergeCell ref="E189:E193"/>
    <mergeCell ref="C171:C175"/>
    <mergeCell ref="A185:A186"/>
    <mergeCell ref="C194:C198"/>
    <mergeCell ref="D195:D198"/>
    <mergeCell ref="A179:A184"/>
    <mergeCell ref="E187:E188"/>
    <mergeCell ref="B179:B184"/>
    <mergeCell ref="C179:C184"/>
    <mergeCell ref="D183:D184"/>
    <mergeCell ref="C215:C217"/>
    <mergeCell ref="A215:A217"/>
    <mergeCell ref="B215:B217"/>
    <mergeCell ref="E215:E217"/>
    <mergeCell ref="D216:D217"/>
    <mergeCell ref="A202:A204"/>
    <mergeCell ref="B202:B204"/>
    <mergeCell ref="C224:C225"/>
    <mergeCell ref="E229:E231"/>
    <mergeCell ref="A224:A225"/>
    <mergeCell ref="C229:C231"/>
    <mergeCell ref="D203:D204"/>
    <mergeCell ref="D206:D207"/>
    <mergeCell ref="A211:A214"/>
    <mergeCell ref="B211:B214"/>
    <mergeCell ref="A205:A207"/>
    <mergeCell ref="B205:B207"/>
    <mergeCell ref="A208:A210"/>
    <mergeCell ref="B208:B210"/>
    <mergeCell ref="C208:C210"/>
    <mergeCell ref="D209:D210"/>
    <mergeCell ref="C205:C207"/>
    <mergeCell ref="B232:B235"/>
    <mergeCell ref="A221:A223"/>
    <mergeCell ref="B221:B223"/>
    <mergeCell ref="C221:C223"/>
    <mergeCell ref="D221:D222"/>
    <mergeCell ref="E221:E223"/>
    <mergeCell ref="F221:F223"/>
    <mergeCell ref="E232:E235"/>
    <mergeCell ref="C232:C235"/>
    <mergeCell ref="E224:E225"/>
    <mergeCell ref="A232:A235"/>
    <mergeCell ref="A229:A231"/>
    <mergeCell ref="B229:B231"/>
    <mergeCell ref="B224:B225"/>
    <mergeCell ref="A226:I228"/>
    <mergeCell ref="F232:F233"/>
    <mergeCell ref="F229:F231"/>
    <mergeCell ref="D230:D231"/>
    <mergeCell ref="G234:G235"/>
    <mergeCell ref="F202:F204"/>
    <mergeCell ref="A187:A188"/>
    <mergeCell ref="E202:E204"/>
    <mergeCell ref="F194:F196"/>
    <mergeCell ref="E208:E210"/>
    <mergeCell ref="F211:F212"/>
    <mergeCell ref="E205:E207"/>
    <mergeCell ref="D212:D214"/>
    <mergeCell ref="E211:E214"/>
    <mergeCell ref="C211:C214"/>
    <mergeCell ref="A194:A198"/>
    <mergeCell ref="B194:B198"/>
    <mergeCell ref="F205:F207"/>
    <mergeCell ref="F213:F214"/>
    <mergeCell ref="D200:D201"/>
    <mergeCell ref="F197:F198"/>
    <mergeCell ref="A199:A201"/>
    <mergeCell ref="B199:B201"/>
    <mergeCell ref="H244:H245"/>
    <mergeCell ref="I246:I247"/>
    <mergeCell ref="F240:F241"/>
    <mergeCell ref="G240:G241"/>
    <mergeCell ref="G259:G260"/>
    <mergeCell ref="G232:G233"/>
    <mergeCell ref="D232:D233"/>
    <mergeCell ref="H234:H235"/>
    <mergeCell ref="F242:F243"/>
    <mergeCell ref="F236:F237"/>
    <mergeCell ref="G236:G237"/>
    <mergeCell ref="D248:D249"/>
    <mergeCell ref="E255:E256"/>
    <mergeCell ref="D234:D235"/>
    <mergeCell ref="H240:H241"/>
    <mergeCell ref="I240:I241"/>
    <mergeCell ref="E236:E239"/>
    <mergeCell ref="H236:H237"/>
    <mergeCell ref="C269:C270"/>
    <mergeCell ref="A240:A243"/>
    <mergeCell ref="B236:B239"/>
    <mergeCell ref="C236:C239"/>
    <mergeCell ref="D236:D237"/>
    <mergeCell ref="A236:A239"/>
    <mergeCell ref="B271:B272"/>
    <mergeCell ref="C271:C272"/>
    <mergeCell ref="A252:A254"/>
    <mergeCell ref="D238:D239"/>
    <mergeCell ref="D241:D243"/>
    <mergeCell ref="D250:D251"/>
    <mergeCell ref="A261:A264"/>
    <mergeCell ref="B261:B264"/>
    <mergeCell ref="D263:D264"/>
    <mergeCell ref="A259:A260"/>
    <mergeCell ref="B259:B260"/>
    <mergeCell ref="B240:B243"/>
    <mergeCell ref="D252:D253"/>
    <mergeCell ref="M181:M182"/>
    <mergeCell ref="B105:B107"/>
    <mergeCell ref="I127:I129"/>
    <mergeCell ref="G127:G129"/>
    <mergeCell ref="C121:C123"/>
    <mergeCell ref="H160:H162"/>
    <mergeCell ref="I105:I107"/>
    <mergeCell ref="H105:H107"/>
    <mergeCell ref="J181:J182"/>
    <mergeCell ref="H153:H155"/>
    <mergeCell ref="I176:I178"/>
    <mergeCell ref="H156:H157"/>
    <mergeCell ref="I156:I157"/>
    <mergeCell ref="H179:H184"/>
    <mergeCell ref="F179:F180"/>
    <mergeCell ref="I160:I162"/>
    <mergeCell ref="E179:E184"/>
    <mergeCell ref="F181:F184"/>
    <mergeCell ref="G179:G184"/>
    <mergeCell ref="I153:I155"/>
    <mergeCell ref="L181:L182"/>
    <mergeCell ref="K181:K182"/>
    <mergeCell ref="E105:E107"/>
    <mergeCell ref="F105:F107"/>
    <mergeCell ref="A105:A107"/>
    <mergeCell ref="A115:A117"/>
    <mergeCell ref="A132:A134"/>
    <mergeCell ref="B132:B134"/>
    <mergeCell ref="C132:C134"/>
    <mergeCell ref="G176:G178"/>
    <mergeCell ref="A108:A111"/>
    <mergeCell ref="B108:B111"/>
    <mergeCell ref="C108:C111"/>
    <mergeCell ref="D108:D109"/>
    <mergeCell ref="E108:E111"/>
    <mergeCell ref="F108:F109"/>
    <mergeCell ref="G105:G107"/>
    <mergeCell ref="B138:B140"/>
    <mergeCell ref="D110:D111"/>
    <mergeCell ref="G143:G144"/>
    <mergeCell ref="C168:C170"/>
    <mergeCell ref="B168:B170"/>
    <mergeCell ref="D177:D178"/>
    <mergeCell ref="F165:F167"/>
    <mergeCell ref="G153:G155"/>
    <mergeCell ref="F176:F178"/>
    <mergeCell ref="G160:G162"/>
    <mergeCell ref="G130:G131"/>
    <mergeCell ref="I118:I120"/>
    <mergeCell ref="H115:H117"/>
    <mergeCell ref="E132:E134"/>
    <mergeCell ref="G132:G134"/>
    <mergeCell ref="E115:E117"/>
    <mergeCell ref="E135:E137"/>
    <mergeCell ref="E118:E120"/>
    <mergeCell ref="F118:F120"/>
    <mergeCell ref="F132:F134"/>
    <mergeCell ref="F130:F131"/>
    <mergeCell ref="E127:E131"/>
    <mergeCell ref="H130:H131"/>
    <mergeCell ref="G135:G137"/>
    <mergeCell ref="H108:H109"/>
    <mergeCell ref="I108:I109"/>
    <mergeCell ref="H110:H111"/>
    <mergeCell ref="I110:I111"/>
    <mergeCell ref="G108:G109"/>
    <mergeCell ref="F153:F155"/>
    <mergeCell ref="H143:H144"/>
    <mergeCell ref="I150:I152"/>
    <mergeCell ref="G150:G152"/>
    <mergeCell ref="G118:G120"/>
    <mergeCell ref="H118:H120"/>
    <mergeCell ref="H127:H129"/>
    <mergeCell ref="I124:I126"/>
    <mergeCell ref="F127:F129"/>
    <mergeCell ref="I143:I144"/>
    <mergeCell ref="F124:F126"/>
    <mergeCell ref="G124:G126"/>
    <mergeCell ref="H124:H126"/>
    <mergeCell ref="I135:I137"/>
    <mergeCell ref="I145:I146"/>
    <mergeCell ref="I138:I140"/>
    <mergeCell ref="F147:F149"/>
    <mergeCell ref="F141:F142"/>
    <mergeCell ref="I147:I149"/>
    <mergeCell ref="A147:A152"/>
    <mergeCell ref="B147:B152"/>
    <mergeCell ref="D150:D152"/>
    <mergeCell ref="D147:D149"/>
    <mergeCell ref="F138:F140"/>
    <mergeCell ref="I132:I134"/>
    <mergeCell ref="C147:C152"/>
    <mergeCell ref="G138:G140"/>
    <mergeCell ref="F150:F152"/>
    <mergeCell ref="H132:H134"/>
    <mergeCell ref="H135:H137"/>
    <mergeCell ref="A143:A146"/>
    <mergeCell ref="B143:B146"/>
    <mergeCell ref="C143:C146"/>
    <mergeCell ref="H138:H140"/>
    <mergeCell ref="F135:F137"/>
    <mergeCell ref="E147:E152"/>
    <mergeCell ref="H147:H149"/>
    <mergeCell ref="A59:A63"/>
    <mergeCell ref="B59:B63"/>
    <mergeCell ref="B67:B69"/>
    <mergeCell ref="D59:D60"/>
    <mergeCell ref="D61:D63"/>
    <mergeCell ref="A76:I78"/>
    <mergeCell ref="E89:E93"/>
    <mergeCell ref="A102:A104"/>
    <mergeCell ref="G94:G95"/>
    <mergeCell ref="H94:H95"/>
    <mergeCell ref="I94:I95"/>
    <mergeCell ref="C94:C98"/>
    <mergeCell ref="A79:A83"/>
    <mergeCell ref="B79:B83"/>
    <mergeCell ref="C79:C83"/>
    <mergeCell ref="B94:B98"/>
    <mergeCell ref="H89:H90"/>
    <mergeCell ref="C102:C104"/>
    <mergeCell ref="E79:E83"/>
    <mergeCell ref="F79:F80"/>
    <mergeCell ref="G79:G80"/>
    <mergeCell ref="H79:H80"/>
    <mergeCell ref="B102:B104"/>
    <mergeCell ref="G81:G83"/>
    <mergeCell ref="D38:D40"/>
    <mergeCell ref="F38:F40"/>
    <mergeCell ref="G38:G40"/>
    <mergeCell ref="F48:F50"/>
    <mergeCell ref="G48:G50"/>
    <mergeCell ref="E67:E69"/>
    <mergeCell ref="E51:E53"/>
    <mergeCell ref="E59:E63"/>
    <mergeCell ref="D49:D50"/>
    <mergeCell ref="F41:F42"/>
    <mergeCell ref="G41:G42"/>
    <mergeCell ref="G61:G63"/>
    <mergeCell ref="G67:G69"/>
    <mergeCell ref="F59:F60"/>
    <mergeCell ref="F56:F58"/>
    <mergeCell ref="G56:G58"/>
    <mergeCell ref="G59:G60"/>
    <mergeCell ref="F61:F63"/>
    <mergeCell ref="H46:H47"/>
    <mergeCell ref="C59:C63"/>
    <mergeCell ref="B51:B53"/>
    <mergeCell ref="H61:H63"/>
    <mergeCell ref="I56:I58"/>
    <mergeCell ref="I67:I69"/>
    <mergeCell ref="H56:H58"/>
    <mergeCell ref="H59:H60"/>
    <mergeCell ref="H67:H69"/>
    <mergeCell ref="I61:I63"/>
    <mergeCell ref="H51:H53"/>
    <mergeCell ref="I59:I60"/>
    <mergeCell ref="G46:G47"/>
    <mergeCell ref="G36:G37"/>
    <mergeCell ref="I33:I35"/>
    <mergeCell ref="I36:I37"/>
    <mergeCell ref="F25:F27"/>
    <mergeCell ref="G25:G27"/>
    <mergeCell ref="F28:F29"/>
    <mergeCell ref="H28:H29"/>
    <mergeCell ref="I28:I29"/>
    <mergeCell ref="G33:G35"/>
    <mergeCell ref="H36:H37"/>
    <mergeCell ref="G28:G29"/>
    <mergeCell ref="H33:H35"/>
    <mergeCell ref="F33:F35"/>
    <mergeCell ref="I17:I19"/>
    <mergeCell ref="F17:F19"/>
    <mergeCell ref="A43:I45"/>
    <mergeCell ref="I51:I53"/>
    <mergeCell ref="F51:F53"/>
    <mergeCell ref="G51:G53"/>
    <mergeCell ref="H17:H19"/>
    <mergeCell ref="B17:B19"/>
    <mergeCell ref="C20:C22"/>
    <mergeCell ref="A36:A40"/>
    <mergeCell ref="B36:B40"/>
    <mergeCell ref="C36:C40"/>
    <mergeCell ref="D36:D37"/>
    <mergeCell ref="E36:E40"/>
    <mergeCell ref="F20:F22"/>
    <mergeCell ref="G20:G22"/>
    <mergeCell ref="H20:H22"/>
    <mergeCell ref="H25:H27"/>
    <mergeCell ref="I25:I27"/>
    <mergeCell ref="H30:H32"/>
    <mergeCell ref="I30:I32"/>
    <mergeCell ref="F30:F32"/>
    <mergeCell ref="G30:G32"/>
    <mergeCell ref="F36:F37"/>
    <mergeCell ref="B323:L323"/>
    <mergeCell ref="G291:G292"/>
    <mergeCell ref="H291:H292"/>
    <mergeCell ref="I291:I292"/>
    <mergeCell ref="A64:I66"/>
    <mergeCell ref="D89:D90"/>
    <mergeCell ref="F67:F69"/>
    <mergeCell ref="B89:B93"/>
    <mergeCell ref="D179:D180"/>
    <mergeCell ref="B185:B186"/>
    <mergeCell ref="F208:F210"/>
    <mergeCell ref="E199:E201"/>
    <mergeCell ref="F199:F201"/>
    <mergeCell ref="C202:C204"/>
    <mergeCell ref="F168:F170"/>
    <mergeCell ref="J72:J73"/>
    <mergeCell ref="K72:K73"/>
    <mergeCell ref="L72:L73"/>
    <mergeCell ref="I242:I243"/>
    <mergeCell ref="H232:H233"/>
    <mergeCell ref="F234:F235"/>
    <mergeCell ref="C67:C69"/>
    <mergeCell ref="I91:I93"/>
    <mergeCell ref="D103:D104"/>
    <mergeCell ref="K1:M1"/>
    <mergeCell ref="K3:M3"/>
    <mergeCell ref="A5:L5"/>
    <mergeCell ref="A7:A9"/>
    <mergeCell ref="D7:D8"/>
    <mergeCell ref="E7:E9"/>
    <mergeCell ref="A17:A19"/>
    <mergeCell ref="A11:I13"/>
    <mergeCell ref="A20:A22"/>
    <mergeCell ref="B20:B22"/>
    <mergeCell ref="J8:J9"/>
    <mergeCell ref="G7:G9"/>
    <mergeCell ref="H7:H9"/>
    <mergeCell ref="I7:I9"/>
    <mergeCell ref="J7:M7"/>
    <mergeCell ref="L8:M8"/>
    <mergeCell ref="K8:K9"/>
    <mergeCell ref="E20:E22"/>
    <mergeCell ref="I20:I22"/>
    <mergeCell ref="A14:I16"/>
    <mergeCell ref="B7:B9"/>
    <mergeCell ref="G17:G19"/>
    <mergeCell ref="C7:C9"/>
    <mergeCell ref="F7:F9"/>
    <mergeCell ref="D28:D30"/>
    <mergeCell ref="E28:E32"/>
    <mergeCell ref="A33:A35"/>
    <mergeCell ref="B33:B35"/>
    <mergeCell ref="D31:D32"/>
    <mergeCell ref="A41:A42"/>
    <mergeCell ref="B41:B42"/>
    <mergeCell ref="C41:C42"/>
    <mergeCell ref="C17:C19"/>
    <mergeCell ref="D18:D19"/>
    <mergeCell ref="E17:E19"/>
    <mergeCell ref="D21:D22"/>
    <mergeCell ref="D26:D27"/>
    <mergeCell ref="C33:C35"/>
    <mergeCell ref="D34:D35"/>
    <mergeCell ref="E33:E35"/>
    <mergeCell ref="A28:A32"/>
    <mergeCell ref="B28:B32"/>
    <mergeCell ref="C28:C32"/>
    <mergeCell ref="E41:E42"/>
    <mergeCell ref="A23:A27"/>
    <mergeCell ref="B23:B27"/>
    <mergeCell ref="C23:C27"/>
    <mergeCell ref="D23:D25"/>
    <mergeCell ref="F91:F93"/>
    <mergeCell ref="G91:G93"/>
    <mergeCell ref="H91:H93"/>
    <mergeCell ref="F89:F90"/>
    <mergeCell ref="G89:G90"/>
    <mergeCell ref="C89:C93"/>
    <mergeCell ref="D91:D93"/>
    <mergeCell ref="H86:H88"/>
    <mergeCell ref="M72:M73"/>
    <mergeCell ref="F72:F75"/>
    <mergeCell ref="H72:H75"/>
    <mergeCell ref="I72:I75"/>
    <mergeCell ref="I89:I90"/>
    <mergeCell ref="H81:H83"/>
    <mergeCell ref="I81:I83"/>
    <mergeCell ref="D79:D81"/>
    <mergeCell ref="D82:D83"/>
    <mergeCell ref="A67:A69"/>
    <mergeCell ref="D67:D68"/>
    <mergeCell ref="G70:G71"/>
    <mergeCell ref="H70:H71"/>
    <mergeCell ref="I70:I71"/>
    <mergeCell ref="G72:G75"/>
    <mergeCell ref="C70:C75"/>
    <mergeCell ref="D70:D72"/>
    <mergeCell ref="E70:E75"/>
    <mergeCell ref="F70:F71"/>
    <mergeCell ref="D73:D75"/>
    <mergeCell ref="A70:A75"/>
    <mergeCell ref="B70:B75"/>
    <mergeCell ref="N96:N97"/>
    <mergeCell ref="F96:F98"/>
    <mergeCell ref="G96:G98"/>
    <mergeCell ref="H96:H98"/>
    <mergeCell ref="I96:I98"/>
    <mergeCell ref="A99:I101"/>
    <mergeCell ref="F102:F104"/>
    <mergeCell ref="D94:D95"/>
    <mergeCell ref="D96:D98"/>
    <mergeCell ref="E94:E98"/>
    <mergeCell ref="F94:F95"/>
    <mergeCell ref="G102:G104"/>
    <mergeCell ref="H102:H104"/>
    <mergeCell ref="I102:I104"/>
    <mergeCell ref="E102:E104"/>
    <mergeCell ref="A94:A98"/>
    <mergeCell ref="F110:F111"/>
    <mergeCell ref="G110:G111"/>
    <mergeCell ref="G242:G243"/>
    <mergeCell ref="C261:C264"/>
    <mergeCell ref="I263:I264"/>
    <mergeCell ref="C240:C243"/>
    <mergeCell ref="H238:H239"/>
    <mergeCell ref="H246:H247"/>
    <mergeCell ref="H252:H254"/>
    <mergeCell ref="H250:H251"/>
    <mergeCell ref="G248:G249"/>
    <mergeCell ref="H248:H249"/>
    <mergeCell ref="F246:F247"/>
    <mergeCell ref="G246:G247"/>
    <mergeCell ref="I255:I256"/>
    <mergeCell ref="D261:D262"/>
    <mergeCell ref="H242:H243"/>
    <mergeCell ref="C244:C247"/>
    <mergeCell ref="D244:D245"/>
    <mergeCell ref="I261:I262"/>
    <mergeCell ref="H255:H256"/>
    <mergeCell ref="F259:F260"/>
    <mergeCell ref="F252:F254"/>
    <mergeCell ref="F250:F251"/>
    <mergeCell ref="H263:H264"/>
    <mergeCell ref="H261:H262"/>
    <mergeCell ref="I265:I266"/>
    <mergeCell ref="H265:H266"/>
    <mergeCell ref="F261:F262"/>
    <mergeCell ref="F267:F268"/>
    <mergeCell ref="G267:G268"/>
    <mergeCell ref="E271:E272"/>
    <mergeCell ref="F265:F266"/>
    <mergeCell ref="F263:F264"/>
    <mergeCell ref="G269:G270"/>
    <mergeCell ref="H269:H270"/>
    <mergeCell ref="G263:G264"/>
    <mergeCell ref="H267:H268"/>
    <mergeCell ref="I267:I268"/>
    <mergeCell ref="I271:I272"/>
    <mergeCell ref="E265:E268"/>
    <mergeCell ref="C289:C290"/>
    <mergeCell ref="A248:A251"/>
    <mergeCell ref="B248:B251"/>
    <mergeCell ref="A244:A247"/>
    <mergeCell ref="B244:B247"/>
    <mergeCell ref="A265:A268"/>
    <mergeCell ref="A255:A256"/>
    <mergeCell ref="E252:E254"/>
    <mergeCell ref="B265:B268"/>
    <mergeCell ref="C259:C260"/>
    <mergeCell ref="E259:E260"/>
    <mergeCell ref="B252:B254"/>
    <mergeCell ref="B255:B256"/>
    <mergeCell ref="D246:D247"/>
    <mergeCell ref="E261:E264"/>
    <mergeCell ref="A269:A270"/>
    <mergeCell ref="B269:B270"/>
    <mergeCell ref="E248:E251"/>
    <mergeCell ref="D265:D266"/>
    <mergeCell ref="C255:C256"/>
    <mergeCell ref="D267:D268"/>
    <mergeCell ref="C252:C254"/>
    <mergeCell ref="C265:C268"/>
    <mergeCell ref="C248:C251"/>
    <mergeCell ref="I287:I288"/>
    <mergeCell ref="H287:H288"/>
    <mergeCell ref="G287:G288"/>
    <mergeCell ref="I269:I270"/>
    <mergeCell ref="G255:G256"/>
    <mergeCell ref="I257:I258"/>
    <mergeCell ref="I285:I286"/>
    <mergeCell ref="H285:H286"/>
    <mergeCell ref="F277:F278"/>
    <mergeCell ref="G277:G278"/>
    <mergeCell ref="H277:H278"/>
    <mergeCell ref="A282:I284"/>
    <mergeCell ref="A271:A272"/>
    <mergeCell ref="G279:G281"/>
    <mergeCell ref="H279:H281"/>
    <mergeCell ref="A277:A281"/>
    <mergeCell ref="B277:B281"/>
    <mergeCell ref="C277:C281"/>
    <mergeCell ref="F271:F272"/>
    <mergeCell ref="G271:G272"/>
    <mergeCell ref="E277:E281"/>
    <mergeCell ref="I277:I278"/>
    <mergeCell ref="G261:G262"/>
    <mergeCell ref="G265:G266"/>
    <mergeCell ref="I289:I290"/>
    <mergeCell ref="G289:G290"/>
    <mergeCell ref="H289:H290"/>
    <mergeCell ref="F307:F308"/>
    <mergeCell ref="G307:G308"/>
    <mergeCell ref="G293:G294"/>
    <mergeCell ref="I307:I308"/>
    <mergeCell ref="A305:A306"/>
    <mergeCell ref="B305:B306"/>
    <mergeCell ref="C305:C306"/>
    <mergeCell ref="E305:E306"/>
    <mergeCell ref="F295:F296"/>
    <mergeCell ref="G295:G296"/>
    <mergeCell ref="E307:E308"/>
    <mergeCell ref="G305:G306"/>
    <mergeCell ref="H305:H306"/>
    <mergeCell ref="I305:I306"/>
    <mergeCell ref="F299:F300"/>
    <mergeCell ref="G299:G300"/>
    <mergeCell ref="I299:I300"/>
    <mergeCell ref="I301:I302"/>
    <mergeCell ref="I293:I294"/>
    <mergeCell ref="A293:A294"/>
    <mergeCell ref="B293:B294"/>
    <mergeCell ref="I295:I296"/>
    <mergeCell ref="A297:A300"/>
    <mergeCell ref="B297:B300"/>
    <mergeCell ref="A295:A296"/>
    <mergeCell ref="B295:B296"/>
    <mergeCell ref="C295:C296"/>
    <mergeCell ref="E295:E296"/>
    <mergeCell ref="E297:E300"/>
    <mergeCell ref="F297:F298"/>
    <mergeCell ref="G297:G298"/>
    <mergeCell ref="H297:H298"/>
    <mergeCell ref="I297:I298"/>
    <mergeCell ref="I314:I315"/>
    <mergeCell ref="E309:E310"/>
    <mergeCell ref="C309:C310"/>
    <mergeCell ref="B309:B310"/>
    <mergeCell ref="A309:A310"/>
    <mergeCell ref="F309:F310"/>
    <mergeCell ref="G309:G310"/>
    <mergeCell ref="H309:H310"/>
    <mergeCell ref="I309:I310"/>
    <mergeCell ref="A311:I313"/>
    <mergeCell ref="A314:A315"/>
    <mergeCell ref="B314:B315"/>
    <mergeCell ref="C314:C315"/>
    <mergeCell ref="E314:E315"/>
    <mergeCell ref="F314:F315"/>
    <mergeCell ref="G314:G315"/>
    <mergeCell ref="H314:H315"/>
    <mergeCell ref="A318:A319"/>
    <mergeCell ref="B318:B319"/>
    <mergeCell ref="C318:C319"/>
    <mergeCell ref="D318:D319"/>
    <mergeCell ref="E318:E319"/>
    <mergeCell ref="F318:F319"/>
    <mergeCell ref="G318:G319"/>
    <mergeCell ref="H318:H319"/>
    <mergeCell ref="A316:A317"/>
    <mergeCell ref="B316:B317"/>
    <mergeCell ref="C316:C317"/>
    <mergeCell ref="E316:E317"/>
    <mergeCell ref="F316:F317"/>
    <mergeCell ref="G316:G317"/>
    <mergeCell ref="H316:H317"/>
    <mergeCell ref="I318:I319"/>
    <mergeCell ref="H41:H42"/>
    <mergeCell ref="I41:I42"/>
    <mergeCell ref="A54:A58"/>
    <mergeCell ref="B54:B58"/>
    <mergeCell ref="C54:C58"/>
    <mergeCell ref="D54:D56"/>
    <mergeCell ref="E54:E58"/>
    <mergeCell ref="F54:F55"/>
    <mergeCell ref="G54:G55"/>
    <mergeCell ref="H54:H55"/>
    <mergeCell ref="I54:I55"/>
    <mergeCell ref="I48:I50"/>
    <mergeCell ref="H48:H50"/>
    <mergeCell ref="C51:C53"/>
    <mergeCell ref="D57:D58"/>
    <mergeCell ref="D52:D53"/>
    <mergeCell ref="A51:A53"/>
    <mergeCell ref="A46:A50"/>
    <mergeCell ref="B46:B50"/>
    <mergeCell ref="C46:C50"/>
    <mergeCell ref="D46:D48"/>
    <mergeCell ref="E46:E50"/>
    <mergeCell ref="F46:F47"/>
    <mergeCell ref="A273:A276"/>
    <mergeCell ref="B273:B276"/>
    <mergeCell ref="C273:C276"/>
    <mergeCell ref="D273:D274"/>
    <mergeCell ref="E273:E276"/>
    <mergeCell ref="F273:F274"/>
    <mergeCell ref="G273:G274"/>
    <mergeCell ref="H273:H274"/>
    <mergeCell ref="I273:I274"/>
    <mergeCell ref="D275:D276"/>
    <mergeCell ref="F275:F276"/>
    <mergeCell ref="G275:G276"/>
    <mergeCell ref="H275:H276"/>
    <mergeCell ref="I275:I276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63" fitToHeight="0" orientation="landscape" blackAndWhite="1" r:id="rId1"/>
  <headerFooter differentFirst="1" alignWithMargins="0">
    <oddHeader>&amp;C&amp;"Times New Roman,обычный"&amp;P</oddHeader>
  </headerFooter>
  <rowBreaks count="10" manualBreakCount="10">
    <brk id="32" max="12" man="1"/>
    <brk id="69" max="12" man="1"/>
    <brk id="111" max="12" man="1"/>
    <brk id="146" max="12" man="1"/>
    <brk id="188" max="12" man="1"/>
    <brk id="231" max="12" man="1"/>
    <brk id="258" max="12" man="1"/>
    <brk id="288" max="12" man="1"/>
    <brk id="317" max="12" man="1"/>
    <brk id="32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2024-2026</vt:lpstr>
      <vt:lpstr>'2024-2026'!Заголовки_для_печати</vt:lpstr>
      <vt:lpstr>'2024-2026'!Область_печати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Губерт Наталья Эдуардовна</dc:creator>
  <cp:lastModifiedBy>Губерт Наталья Эдуардовна</cp:lastModifiedBy>
  <cp:lastPrinted>2024-12-24T11:21:26Z</cp:lastPrinted>
  <dcterms:created xsi:type="dcterms:W3CDTF">2021-11-12T08:21:59Z</dcterms:created>
  <dcterms:modified xsi:type="dcterms:W3CDTF">2025-01-09T09:46:02Z</dcterms:modified>
</cp:coreProperties>
</file>