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!Постановления, Порядки, План\АИП 2025-2027\3-864 от 06.11.2025\"/>
    </mc:Choice>
  </mc:AlternateContent>
  <xr:revisionPtr revIDLastSave="0" documentId="13_ncr:1_{B283A886-FFB2-4C9A-A810-94BD08B8EE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-2027" sheetId="1" r:id="rId1"/>
  </sheets>
  <definedNames>
    <definedName name="_xlnm._FilterDatabase" localSheetId="0" hidden="1">'2025-2027'!$A$14:$M$412</definedName>
    <definedName name="_xlnm.Print_Titles" localSheetId="0">'2025-2027'!$14:$14</definedName>
    <definedName name="_xlnm.Print_Area" localSheetId="0">'2025-2027'!$A$1:$M$413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9" i="1" l="1"/>
  <c r="M229" i="1"/>
  <c r="K229" i="1"/>
  <c r="M385" i="1"/>
  <c r="L385" i="1"/>
  <c r="H385" i="1" s="1"/>
  <c r="K385" i="1"/>
  <c r="M383" i="1"/>
  <c r="L383" i="1"/>
  <c r="K383" i="1"/>
  <c r="K191" i="1"/>
  <c r="L90" i="1"/>
  <c r="L71" i="1"/>
  <c r="K20" i="1"/>
  <c r="L249" i="1"/>
  <c r="K249" i="1"/>
  <c r="K130" i="1"/>
  <c r="L77" i="1"/>
  <c r="M77" i="1"/>
  <c r="K77" i="1"/>
  <c r="M67" i="1"/>
  <c r="L67" i="1"/>
  <c r="K67" i="1"/>
  <c r="H67" i="1" s="1"/>
  <c r="M65" i="1"/>
  <c r="L65" i="1"/>
  <c r="K65" i="1"/>
  <c r="M62" i="1"/>
  <c r="L62" i="1"/>
  <c r="K62" i="1"/>
  <c r="M60" i="1"/>
  <c r="L60" i="1"/>
  <c r="K60" i="1"/>
  <c r="H383" i="1" l="1"/>
  <c r="H65" i="1"/>
  <c r="H62" i="1"/>
  <c r="H60" i="1"/>
  <c r="K213" i="1" l="1"/>
  <c r="K188" i="1"/>
  <c r="K98" i="1"/>
  <c r="K90" i="1" s="1"/>
  <c r="L225" i="1" l="1"/>
  <c r="M225" i="1"/>
  <c r="K225" i="1"/>
  <c r="H225" i="1" s="1"/>
  <c r="K211" i="1"/>
  <c r="K194" i="1"/>
  <c r="K141" i="1"/>
  <c r="K133" i="1"/>
  <c r="L114" i="1" l="1"/>
  <c r="I58" i="1" l="1"/>
  <c r="M58" i="1" l="1"/>
  <c r="L58" i="1"/>
  <c r="K58" i="1"/>
  <c r="H58" i="1" l="1"/>
  <c r="L26" i="1"/>
  <c r="L20" i="1" s="1"/>
  <c r="K285" i="1"/>
  <c r="K255" i="1"/>
  <c r="K251" i="1"/>
  <c r="K183" i="1"/>
  <c r="M381" i="1"/>
  <c r="L381" i="1"/>
  <c r="K381" i="1"/>
  <c r="M379" i="1"/>
  <c r="L379" i="1"/>
  <c r="K379" i="1"/>
  <c r="L128" i="1"/>
  <c r="M177" i="1"/>
  <c r="M110" i="1" s="1"/>
  <c r="M32" i="1"/>
  <c r="M29" i="1"/>
  <c r="M23" i="1"/>
  <c r="M53" i="1"/>
  <c r="K228" i="1"/>
  <c r="K119" i="1"/>
  <c r="L120" i="1"/>
  <c r="M120" i="1"/>
  <c r="K120" i="1"/>
  <c r="H381" i="1" l="1"/>
  <c r="H379" i="1"/>
  <c r="H120" i="1"/>
  <c r="K109" i="1"/>
  <c r="K114" i="1"/>
  <c r="K131" i="1"/>
  <c r="M222" i="1" l="1"/>
  <c r="L222" i="1"/>
  <c r="K222" i="1"/>
  <c r="K157" i="1"/>
  <c r="L109" i="1"/>
  <c r="M109" i="1"/>
  <c r="H222" i="1" l="1"/>
  <c r="M266" i="1"/>
  <c r="L266" i="1"/>
  <c r="K266" i="1"/>
  <c r="H266" i="1" l="1"/>
  <c r="M163" i="1"/>
  <c r="L163" i="1"/>
  <c r="K163" i="1"/>
  <c r="H163" i="1" l="1"/>
  <c r="M284" i="1" l="1"/>
  <c r="L284" i="1"/>
  <c r="K284" i="1"/>
  <c r="M282" i="1"/>
  <c r="L282" i="1"/>
  <c r="K282" i="1"/>
  <c r="L397" i="1"/>
  <c r="M397" i="1"/>
  <c r="M410" i="1"/>
  <c r="L410" i="1"/>
  <c r="K410" i="1"/>
  <c r="M408" i="1"/>
  <c r="L408" i="1"/>
  <c r="K408" i="1"/>
  <c r="H408" i="1" l="1"/>
  <c r="H282" i="1"/>
  <c r="H410" i="1"/>
  <c r="H284" i="1"/>
  <c r="L388" i="1" l="1"/>
  <c r="M388" i="1"/>
  <c r="K388" i="1"/>
  <c r="M286" i="1"/>
  <c r="L286" i="1"/>
  <c r="K286" i="1"/>
  <c r="M260" i="1"/>
  <c r="L260" i="1"/>
  <c r="K260" i="1"/>
  <c r="H388" i="1" l="1"/>
  <c r="H286" i="1"/>
  <c r="H260" i="1"/>
  <c r="L243" i="1" l="1"/>
  <c r="M243" i="1"/>
  <c r="K243" i="1"/>
  <c r="H243" i="1" s="1"/>
  <c r="K208" i="1"/>
  <c r="K192" i="1"/>
  <c r="M192" i="1"/>
  <c r="L192" i="1"/>
  <c r="H192" i="1" l="1"/>
  <c r="L42" i="1"/>
  <c r="M42" i="1"/>
  <c r="K42" i="1"/>
  <c r="H42" i="1" l="1"/>
  <c r="L157" i="1" l="1"/>
  <c r="M157" i="1"/>
  <c r="L187" i="1"/>
  <c r="M187" i="1"/>
  <c r="K187" i="1"/>
  <c r="H187" i="1" s="1"/>
  <c r="M148" i="1"/>
  <c r="L148" i="1"/>
  <c r="K148" i="1"/>
  <c r="H157" i="1" l="1"/>
  <c r="H148" i="1"/>
  <c r="I117" i="1"/>
  <c r="L137" i="1"/>
  <c r="M137" i="1"/>
  <c r="K137" i="1"/>
  <c r="H137" i="1" l="1"/>
  <c r="L129" i="1"/>
  <c r="M129" i="1"/>
  <c r="K129" i="1"/>
  <c r="L228" i="1"/>
  <c r="M228" i="1"/>
  <c r="K230" i="1"/>
  <c r="M230" i="1"/>
  <c r="L230" i="1"/>
  <c r="H129" i="1" l="1"/>
  <c r="H230" i="1"/>
  <c r="L292" i="1"/>
  <c r="M292" i="1"/>
  <c r="K292" i="1"/>
  <c r="I294" i="1"/>
  <c r="H292" i="1" l="1"/>
  <c r="M294" i="1"/>
  <c r="L294" i="1"/>
  <c r="K294" i="1"/>
  <c r="H294" i="1" l="1"/>
  <c r="I47" i="1"/>
  <c r="I44" i="1"/>
  <c r="I236" i="1" l="1"/>
  <c r="I21" i="1"/>
  <c r="L233" i="1" l="1"/>
  <c r="M233" i="1"/>
  <c r="K233" i="1"/>
  <c r="L40" i="1"/>
  <c r="M40" i="1"/>
  <c r="K40" i="1"/>
  <c r="L207" i="1"/>
  <c r="M207" i="1"/>
  <c r="K207" i="1"/>
  <c r="L182" i="1"/>
  <c r="M182" i="1"/>
  <c r="K182" i="1"/>
  <c r="L89" i="1"/>
  <c r="M89" i="1"/>
  <c r="K89" i="1"/>
  <c r="L254" i="1"/>
  <c r="M254" i="1"/>
  <c r="K254" i="1"/>
  <c r="L280" i="1"/>
  <c r="M280" i="1"/>
  <c r="K280" i="1"/>
  <c r="L252" i="1"/>
  <c r="M252" i="1"/>
  <c r="K252" i="1"/>
  <c r="L250" i="1"/>
  <c r="M250" i="1"/>
  <c r="K250" i="1"/>
  <c r="L248" i="1"/>
  <c r="M248" i="1"/>
  <c r="K248" i="1"/>
  <c r="L238" i="1"/>
  <c r="M238" i="1"/>
  <c r="K238" i="1"/>
  <c r="L236" i="1"/>
  <c r="M236" i="1"/>
  <c r="K236" i="1"/>
  <c r="L76" i="1"/>
  <c r="M76" i="1"/>
  <c r="K76" i="1"/>
  <c r="H236" i="1" l="1"/>
  <c r="M134" i="1" l="1"/>
  <c r="K134" i="1"/>
  <c r="L134" i="1"/>
  <c r="L314" i="1" l="1"/>
  <c r="M52" i="1" l="1"/>
  <c r="M19" i="1" s="1"/>
  <c r="L52" i="1"/>
  <c r="L19" i="1" s="1"/>
  <c r="K52" i="1"/>
  <c r="K19" i="1" l="1"/>
  <c r="K16" i="1" s="1"/>
  <c r="M278" i="1"/>
  <c r="L278" i="1"/>
  <c r="K278" i="1"/>
  <c r="M274" i="1"/>
  <c r="L274" i="1"/>
  <c r="K274" i="1"/>
  <c r="H274" i="1" l="1"/>
  <c r="H278" i="1"/>
  <c r="M107" i="1" l="1"/>
  <c r="M90" i="1" s="1"/>
  <c r="K47" i="1" l="1"/>
  <c r="M47" i="1"/>
  <c r="L47" i="1"/>
  <c r="M44" i="1"/>
  <c r="L44" i="1"/>
  <c r="K44" i="1"/>
  <c r="H47" i="1" l="1"/>
  <c r="H44" i="1"/>
  <c r="M400" i="1"/>
  <c r="L400" i="1"/>
  <c r="K400" i="1"/>
  <c r="H400" i="1" l="1"/>
  <c r="M37" i="1"/>
  <c r="M20" i="1" l="1"/>
  <c r="M17" i="1" s="1"/>
  <c r="K403" i="1"/>
  <c r="K397" i="1" s="1"/>
  <c r="M390" i="1" l="1"/>
  <c r="L390" i="1"/>
  <c r="K390" i="1"/>
  <c r="M377" i="1"/>
  <c r="L377" i="1"/>
  <c r="K377" i="1"/>
  <c r="M375" i="1"/>
  <c r="L375" i="1"/>
  <c r="K375" i="1"/>
  <c r="M373" i="1"/>
  <c r="L373" i="1"/>
  <c r="K373" i="1"/>
  <c r="M371" i="1"/>
  <c r="L371" i="1"/>
  <c r="K371" i="1"/>
  <c r="M369" i="1"/>
  <c r="L369" i="1"/>
  <c r="K369" i="1"/>
  <c r="M367" i="1"/>
  <c r="L367" i="1"/>
  <c r="K367" i="1"/>
  <c r="M365" i="1"/>
  <c r="L365" i="1"/>
  <c r="K365" i="1"/>
  <c r="M363" i="1"/>
  <c r="L363" i="1"/>
  <c r="K363" i="1"/>
  <c r="M361" i="1"/>
  <c r="L361" i="1"/>
  <c r="K361" i="1"/>
  <c r="M359" i="1"/>
  <c r="L359" i="1"/>
  <c r="K359" i="1"/>
  <c r="M357" i="1"/>
  <c r="L357" i="1"/>
  <c r="K357" i="1"/>
  <c r="M355" i="1"/>
  <c r="L355" i="1"/>
  <c r="K355" i="1"/>
  <c r="M353" i="1"/>
  <c r="L353" i="1"/>
  <c r="K353" i="1"/>
  <c r="M351" i="1"/>
  <c r="L351" i="1"/>
  <c r="K351" i="1"/>
  <c r="M349" i="1"/>
  <c r="L349" i="1"/>
  <c r="K349" i="1"/>
  <c r="M347" i="1"/>
  <c r="L347" i="1"/>
  <c r="K347" i="1"/>
  <c r="M345" i="1"/>
  <c r="L345" i="1"/>
  <c r="K345" i="1"/>
  <c r="M343" i="1"/>
  <c r="L343" i="1"/>
  <c r="K343" i="1"/>
  <c r="M341" i="1"/>
  <c r="L341" i="1"/>
  <c r="K341" i="1"/>
  <c r="M339" i="1"/>
  <c r="L339" i="1"/>
  <c r="K339" i="1"/>
  <c r="M337" i="1"/>
  <c r="L337" i="1"/>
  <c r="K337" i="1"/>
  <c r="M335" i="1"/>
  <c r="L335" i="1"/>
  <c r="K335" i="1"/>
  <c r="M333" i="1"/>
  <c r="L333" i="1"/>
  <c r="K333" i="1"/>
  <c r="M331" i="1"/>
  <c r="L331" i="1"/>
  <c r="K331" i="1"/>
  <c r="M329" i="1"/>
  <c r="L329" i="1"/>
  <c r="K329" i="1"/>
  <c r="M327" i="1"/>
  <c r="L327" i="1"/>
  <c r="K327" i="1"/>
  <c r="M325" i="1"/>
  <c r="L325" i="1"/>
  <c r="K325" i="1"/>
  <c r="M323" i="1"/>
  <c r="L323" i="1"/>
  <c r="K323" i="1"/>
  <c r="M302" i="1"/>
  <c r="L302" i="1"/>
  <c r="K302" i="1"/>
  <c r="M300" i="1"/>
  <c r="L300" i="1"/>
  <c r="K300" i="1"/>
  <c r="H349" i="1" l="1"/>
  <c r="H357" i="1"/>
  <c r="H373" i="1"/>
  <c r="H325" i="1"/>
  <c r="H300" i="1"/>
  <c r="H327" i="1"/>
  <c r="H343" i="1"/>
  <c r="H351" i="1"/>
  <c r="H359" i="1"/>
  <c r="H367" i="1"/>
  <c r="H375" i="1"/>
  <c r="H323" i="1"/>
  <c r="H331" i="1"/>
  <c r="H339" i="1"/>
  <c r="H347" i="1"/>
  <c r="H355" i="1"/>
  <c r="H365" i="1"/>
  <c r="H390" i="1"/>
  <c r="H345" i="1"/>
  <c r="H353" i="1"/>
  <c r="H361" i="1"/>
  <c r="H363" i="1"/>
  <c r="H369" i="1"/>
  <c r="H377" i="1"/>
  <c r="H371" i="1"/>
  <c r="H341" i="1"/>
  <c r="H337" i="1"/>
  <c r="H335" i="1"/>
  <c r="H333" i="1"/>
  <c r="H329" i="1"/>
  <c r="H302" i="1"/>
  <c r="L86" i="1"/>
  <c r="M86" i="1"/>
  <c r="K86" i="1"/>
  <c r="L84" i="1"/>
  <c r="M84" i="1"/>
  <c r="K84" i="1"/>
  <c r="H86" i="1" l="1"/>
  <c r="H84" i="1"/>
  <c r="K268" i="1"/>
  <c r="K404" i="1"/>
  <c r="M406" i="1"/>
  <c r="L406" i="1"/>
  <c r="K406" i="1"/>
  <c r="M404" i="1"/>
  <c r="L404" i="1"/>
  <c r="M392" i="1"/>
  <c r="L392" i="1"/>
  <c r="K392" i="1"/>
  <c r="M270" i="1"/>
  <c r="L270" i="1"/>
  <c r="K270" i="1"/>
  <c r="M268" i="1"/>
  <c r="L268" i="1"/>
  <c r="M264" i="1"/>
  <c r="L264" i="1"/>
  <c r="K264" i="1"/>
  <c r="M262" i="1"/>
  <c r="L262" i="1"/>
  <c r="K262" i="1"/>
  <c r="H392" i="1" l="1"/>
  <c r="H406" i="1"/>
  <c r="H404" i="1"/>
  <c r="H268" i="1"/>
  <c r="H254" i="1"/>
  <c r="H270" i="1"/>
  <c r="H264" i="1"/>
  <c r="H262" i="1"/>
  <c r="H252" i="1"/>
  <c r="H280" i="1"/>
  <c r="M38" i="1"/>
  <c r="L38" i="1"/>
  <c r="K38" i="1"/>
  <c r="I317" i="1"/>
  <c r="I314" i="1"/>
  <c r="I312" i="1"/>
  <c r="I306" i="1"/>
  <c r="I304" i="1"/>
  <c r="L256" i="1"/>
  <c r="M256" i="1"/>
  <c r="K256" i="1"/>
  <c r="I288" i="1"/>
  <c r="I245" i="1"/>
  <c r="I258" i="1"/>
  <c r="H40" i="1" l="1"/>
  <c r="H38" i="1"/>
  <c r="H250" i="1"/>
  <c r="H233" i="1"/>
  <c r="M16" i="1"/>
  <c r="L214" i="1"/>
  <c r="K214" i="1"/>
  <c r="M214" i="1"/>
  <c r="M167" i="1"/>
  <c r="L167" i="1"/>
  <c r="K167" i="1"/>
  <c r="M165" i="1"/>
  <c r="L165" i="1"/>
  <c r="K165" i="1"/>
  <c r="H238" i="1" l="1"/>
  <c r="H207" i="1"/>
  <c r="H214" i="1"/>
  <c r="H167" i="1"/>
  <c r="H165" i="1"/>
  <c r="L213" i="1"/>
  <c r="L110" i="1" s="1"/>
  <c r="K110" i="1"/>
  <c r="M209" i="1"/>
  <c r="K209" i="1"/>
  <c r="M204" i="1"/>
  <c r="L204" i="1"/>
  <c r="K204" i="1"/>
  <c r="M198" i="1"/>
  <c r="L198" i="1"/>
  <c r="K198" i="1"/>
  <c r="L189" i="1"/>
  <c r="M189" i="1"/>
  <c r="K189" i="1"/>
  <c r="M176" i="1"/>
  <c r="L176" i="1"/>
  <c r="K176" i="1"/>
  <c r="L16" i="1"/>
  <c r="M127" i="1"/>
  <c r="L127" i="1"/>
  <c r="K127" i="1"/>
  <c r="I96" i="1"/>
  <c r="I93" i="1"/>
  <c r="M72" i="1"/>
  <c r="L72" i="1"/>
  <c r="K72" i="1"/>
  <c r="M70" i="1"/>
  <c r="L70" i="1"/>
  <c r="K70" i="1"/>
  <c r="K17" i="1" l="1"/>
  <c r="L17" i="1"/>
  <c r="H204" i="1"/>
  <c r="H189" i="1"/>
  <c r="H176" i="1"/>
  <c r="H198" i="1"/>
  <c r="L75" i="1"/>
  <c r="H127" i="1"/>
  <c r="M75" i="1"/>
  <c r="K75" i="1"/>
  <c r="H70" i="1"/>
  <c r="H72" i="1"/>
  <c r="I51" i="1"/>
  <c r="I27" i="1"/>
  <c r="M217" i="1" l="1"/>
  <c r="L217" i="1"/>
  <c r="K217" i="1"/>
  <c r="M114" i="1"/>
  <c r="K111" i="1"/>
  <c r="M111" i="1"/>
  <c r="L111" i="1"/>
  <c r="H111" i="1" s="1"/>
  <c r="L209" i="1"/>
  <c r="H209" i="1" s="1"/>
  <c r="M184" i="1"/>
  <c r="L184" i="1"/>
  <c r="K184" i="1"/>
  <c r="M160" i="1"/>
  <c r="K160" i="1"/>
  <c r="M145" i="1"/>
  <c r="L145" i="1"/>
  <c r="K145" i="1"/>
  <c r="M139" i="1"/>
  <c r="L139" i="1"/>
  <c r="K139" i="1"/>
  <c r="H160" i="1" l="1"/>
  <c r="H217" i="1"/>
  <c r="H139" i="1"/>
  <c r="H114" i="1"/>
  <c r="H145" i="1"/>
  <c r="H184" i="1"/>
  <c r="M96" i="1" l="1"/>
  <c r="L96" i="1"/>
  <c r="K96" i="1"/>
  <c r="H96" i="1" l="1"/>
  <c r="L91" i="1" l="1"/>
  <c r="M91" i="1"/>
  <c r="K91" i="1"/>
  <c r="H91" i="1" l="1"/>
  <c r="K172" i="1" l="1"/>
  <c r="L172" i="1"/>
  <c r="M172" i="1"/>
  <c r="M131" i="1" l="1"/>
  <c r="L131" i="1"/>
  <c r="H131" i="1" l="1"/>
  <c r="I24" i="1" l="1"/>
  <c r="I248" i="1" l="1"/>
  <c r="H248" i="1" s="1"/>
  <c r="M395" i="1" l="1"/>
  <c r="M402" i="1"/>
  <c r="L402" i="1"/>
  <c r="K402" i="1"/>
  <c r="M398" i="1"/>
  <c r="L398" i="1"/>
  <c r="K398" i="1"/>
  <c r="L395" i="1"/>
  <c r="K395" i="1"/>
  <c r="H402" i="1" l="1"/>
  <c r="H398" i="1"/>
  <c r="L288" i="1"/>
  <c r="M288" i="1"/>
  <c r="K288" i="1"/>
  <c r="H288" i="1" l="1"/>
  <c r="M276" i="1"/>
  <c r="L276" i="1"/>
  <c r="K276" i="1"/>
  <c r="M272" i="1"/>
  <c r="L272" i="1"/>
  <c r="K272" i="1"/>
  <c r="M245" i="1"/>
  <c r="L245" i="1"/>
  <c r="K245" i="1"/>
  <c r="M258" i="1"/>
  <c r="L258" i="1"/>
  <c r="K258" i="1"/>
  <c r="H276" i="1" l="1"/>
  <c r="H272" i="1"/>
  <c r="H245" i="1"/>
  <c r="H258" i="1"/>
  <c r="H256" i="1"/>
  <c r="H182" i="1"/>
  <c r="M125" i="1" l="1"/>
  <c r="L125" i="1"/>
  <c r="K125" i="1"/>
  <c r="H134" i="1" l="1"/>
  <c r="H125" i="1"/>
  <c r="L78" i="1"/>
  <c r="M78" i="1"/>
  <c r="K78" i="1"/>
  <c r="M93" i="1"/>
  <c r="L93" i="1"/>
  <c r="K93" i="1"/>
  <c r="H93" i="1" l="1"/>
  <c r="H78" i="1"/>
  <c r="M18" i="1" l="1"/>
  <c r="K18" i="1"/>
  <c r="L240" i="1" l="1"/>
  <c r="M240" i="1"/>
  <c r="K240" i="1"/>
  <c r="L170" i="1"/>
  <c r="M170" i="1"/>
  <c r="K170" i="1"/>
  <c r="H170" i="1" s="1"/>
  <c r="H240" i="1" l="1"/>
  <c r="M321" i="1" l="1"/>
  <c r="L321" i="1"/>
  <c r="K321" i="1"/>
  <c r="M296" i="1"/>
  <c r="L296" i="1"/>
  <c r="K296" i="1"/>
  <c r="M319" i="1"/>
  <c r="L319" i="1"/>
  <c r="K319" i="1"/>
  <c r="M317" i="1"/>
  <c r="L317" i="1"/>
  <c r="K317" i="1"/>
  <c r="M314" i="1"/>
  <c r="K314" i="1"/>
  <c r="M312" i="1"/>
  <c r="L312" i="1"/>
  <c r="K312" i="1"/>
  <c r="M310" i="1"/>
  <c r="L310" i="1"/>
  <c r="K310" i="1"/>
  <c r="M308" i="1"/>
  <c r="L308" i="1"/>
  <c r="K308" i="1"/>
  <c r="M306" i="1"/>
  <c r="L306" i="1"/>
  <c r="K306" i="1"/>
  <c r="M304" i="1"/>
  <c r="L304" i="1"/>
  <c r="K304" i="1"/>
  <c r="M220" i="1"/>
  <c r="L220" i="1"/>
  <c r="K220" i="1"/>
  <c r="M212" i="1"/>
  <c r="L212" i="1"/>
  <c r="K212" i="1"/>
  <c r="H317" i="1" l="1"/>
  <c r="H304" i="1"/>
  <c r="H308" i="1"/>
  <c r="H296" i="1"/>
  <c r="H306" i="1"/>
  <c r="H310" i="1"/>
  <c r="H314" i="1"/>
  <c r="H319" i="1"/>
  <c r="H321" i="1"/>
  <c r="H312" i="1"/>
  <c r="H220" i="1"/>
  <c r="H212" i="1"/>
  <c r="M51" i="1" l="1"/>
  <c r="M298" i="1"/>
  <c r="L298" i="1"/>
  <c r="K298" i="1"/>
  <c r="H298" i="1" l="1"/>
  <c r="K154" i="1" l="1"/>
  <c r="M142" i="1"/>
  <c r="L142" i="1"/>
  <c r="K142" i="1"/>
  <c r="M201" i="1"/>
  <c r="L201" i="1"/>
  <c r="K201" i="1"/>
  <c r="M195" i="1"/>
  <c r="L195" i="1"/>
  <c r="K195" i="1"/>
  <c r="M180" i="1"/>
  <c r="L180" i="1"/>
  <c r="K180" i="1"/>
  <c r="H180" i="1" l="1"/>
  <c r="M227" i="1"/>
  <c r="L227" i="1"/>
  <c r="K227" i="1"/>
  <c r="H142" i="1"/>
  <c r="H201" i="1"/>
  <c r="H195" i="1"/>
  <c r="M151" i="1"/>
  <c r="L151" i="1"/>
  <c r="K151" i="1"/>
  <c r="M104" i="1"/>
  <c r="L104" i="1"/>
  <c r="K104" i="1"/>
  <c r="I54" i="1"/>
  <c r="L51" i="1"/>
  <c r="K51" i="1"/>
  <c r="M35" i="1"/>
  <c r="L35" i="1"/>
  <c r="K35" i="1"/>
  <c r="M33" i="1"/>
  <c r="L33" i="1"/>
  <c r="K33" i="1"/>
  <c r="H51" i="1" l="1"/>
  <c r="H151" i="1"/>
  <c r="H104" i="1"/>
  <c r="H35" i="1"/>
  <c r="H33" i="1"/>
  <c r="L24" i="1" l="1"/>
  <c r="M24" i="1"/>
  <c r="M99" i="1" l="1"/>
  <c r="L99" i="1"/>
  <c r="K99" i="1"/>
  <c r="H99" i="1" l="1"/>
  <c r="K24" i="1"/>
  <c r="H24" i="1" s="1"/>
  <c r="K106" i="1" l="1"/>
  <c r="M106" i="1"/>
  <c r="L106" i="1"/>
  <c r="H106" i="1" l="1"/>
  <c r="K108" i="1"/>
  <c r="K21" i="1" l="1"/>
  <c r="L117" i="1" l="1"/>
  <c r="M117" i="1"/>
  <c r="L30" i="1" l="1"/>
  <c r="M30" i="1"/>
  <c r="K30" i="1"/>
  <c r="M178" i="1"/>
  <c r="M154" i="1"/>
  <c r="M122" i="1"/>
  <c r="M81" i="1"/>
  <c r="M101" i="1"/>
  <c r="M88" i="1"/>
  <c r="M54" i="1"/>
  <c r="M27" i="1"/>
  <c r="M21" i="1"/>
  <c r="H30" i="1" l="1"/>
  <c r="M108" i="1"/>
  <c r="M15" i="1" l="1"/>
  <c r="K88" i="1" l="1"/>
  <c r="L88" i="1"/>
  <c r="L15" i="1"/>
  <c r="K178" i="1"/>
  <c r="L178" i="1"/>
  <c r="L154" i="1"/>
  <c r="H154" i="1" s="1"/>
  <c r="K122" i="1"/>
  <c r="L122" i="1"/>
  <c r="K117" i="1"/>
  <c r="H117" i="1" s="1"/>
  <c r="K81" i="1"/>
  <c r="L81" i="1"/>
  <c r="K101" i="1"/>
  <c r="L101" i="1"/>
  <c r="K54" i="1"/>
  <c r="L54" i="1"/>
  <c r="K15" i="1" l="1"/>
  <c r="H54" i="1"/>
  <c r="H101" i="1"/>
  <c r="H178" i="1"/>
  <c r="H81" i="1"/>
  <c r="H122" i="1"/>
  <c r="L108" i="1"/>
  <c r="K27" i="1" l="1"/>
  <c r="L27" i="1"/>
  <c r="L21" i="1"/>
  <c r="H21" i="1" s="1"/>
  <c r="H27" i="1" l="1"/>
  <c r="L18" i="1"/>
</calcChain>
</file>

<file path=xl/sharedStrings.xml><?xml version="1.0" encoding="utf-8"?>
<sst xmlns="http://schemas.openxmlformats.org/spreadsheetml/2006/main" count="1289" uniqueCount="393">
  <si>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</si>
  <si>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</si>
  <si>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</si>
  <si>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</si>
  <si>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Плановый период</t>
  </si>
  <si>
    <t>муниципальный заказчик (получатель субсидии)</t>
  </si>
  <si>
    <t>Всего по объектам, в т.ч. по направлениям:</t>
  </si>
  <si>
    <t>Всего</t>
  </si>
  <si>
    <t>ОБ</t>
  </si>
  <si>
    <t>ГБ</t>
  </si>
  <si>
    <t>Бюджетные инвестиции</t>
  </si>
  <si>
    <t>Строительство</t>
  </si>
  <si>
    <t>Субсидия</t>
  </si>
  <si>
    <t>Реконструкция</t>
  </si>
  <si>
    <t>МКУ «ГДСР»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</si>
  <si>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</si>
  <si>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>2021-2025</t>
  </si>
  <si>
    <t>2021-2024</t>
  </si>
  <si>
    <t>Разработка проектной документации</t>
  </si>
  <si>
    <t>МП «Калининград-теплосеть»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</si>
  <si>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</si>
  <si>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</si>
  <si>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</si>
  <si>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</si>
  <si>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КГХиС</t>
  </si>
  <si>
    <t>КпСП</t>
  </si>
  <si>
    <t>КРДТИ</t>
  </si>
  <si>
    <t>Общий объем финансирования, тыс. руб.</t>
  </si>
  <si>
    <t>Источни-ки финанси-рования</t>
  </si>
  <si>
    <t>2.*</t>
  </si>
  <si>
    <t>3.*</t>
  </si>
  <si>
    <t>4.*</t>
  </si>
  <si>
    <t>5.*</t>
  </si>
  <si>
    <t>Строительство дошкольного учреждения по проезду Тихорецкому в г. Калининграде</t>
  </si>
  <si>
    <t>2023-2024</t>
  </si>
  <si>
    <t>Строительство дошкольного учреждения по ул. Флагманской в г. Калининграде</t>
  </si>
  <si>
    <t>Строительство дошкольного учреждения по ул. Владимирской в г. Калининграде</t>
  </si>
  <si>
    <t>Строительство дошкольного учреждения по ул. Баженова в г. Калининграде</t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</si>
  <si>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</si>
  <si>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>Реконструкция объекта «Аквариум» (литер Г) под «Террариум» по адресу пр. Мира, 26</t>
  </si>
  <si>
    <t>Реконструкция Советского проспекта от
ул. Марш. Борзова до ул. Габайдулина в 
г. Калининграде</t>
  </si>
  <si>
    <t>Строительство ул. Героя России Мариенко в г. Калининграде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</si>
  <si>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</si>
  <si>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Реконструкция участка проспекта Победы от улицы Кутузова до улицы Радищева в 
г. Калининграде</t>
  </si>
  <si>
    <t>Строительство газовой котельной по ул. Берестяная в г. Калининграде</t>
  </si>
  <si>
    <t>Строительство Центра прогресса бокса по ул. Железнодорожной в г. Калининграде</t>
  </si>
  <si>
    <t xml:space="preserve">Разработка проектной и рабочей документации </t>
  </si>
  <si>
    <t>Строительство ул. Юбилейная в г. Калининграде</t>
  </si>
  <si>
    <t>2025 г.</t>
  </si>
  <si>
    <t>2022-2025</t>
  </si>
  <si>
    <t>МБУ «УКС»</t>
  </si>
  <si>
    <t>Строительство улицы Генерала Лучинского в 
г. Калининграде. 2 этап строительства (от 
ул. Героя России Мариенко до ул. Закатной)</t>
  </si>
  <si>
    <t>Строительство ул. Ген.Толстикова в 
г. Калининграде</t>
  </si>
  <si>
    <t>Техническое перевооружение с переводом на природный газ котельной по 
ул. А. Невского, 188 в г. Калининграде</t>
  </si>
  <si>
    <t>Реконструкция ул. Литовский вал в 
г. Калининграде</t>
  </si>
  <si>
    <t>КУЛЬТУРА</t>
  </si>
  <si>
    <t>МАУК 
«Калининград-ский зоопарк»</t>
  </si>
  <si>
    <t>Реконструкция вольеров для лосей (литеры 
Г-31, Г-32 и Г-33) под вольер для содержания животных МАУК «Калининградский зоопарк»</t>
  </si>
  <si>
    <t>Реконструкция тепловой сети с целью переключения абонентов котельной                                ООО «ТПК «Балтптицепром» на газовую котельную по ул. Берестяная в г. Калининграде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</si>
  <si>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</si>
  <si>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Строительство дошкольного учреждения по 
ул. Арсенальной в г. Калининграде</t>
  </si>
  <si>
    <t>№ 423 от 03.06.2022
(в редакции от  24.03.2023 № 177)</t>
  </si>
  <si>
    <t>2023-2025</t>
  </si>
  <si>
    <t>Техническое перевооружение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</si>
  <si>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</si>
  <si>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</si>
  <si>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</si>
  <si>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</si>
  <si>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№ 405 от 02.06.2022
(в редакции от  17.11.2022 № 1072)</t>
  </si>
  <si>
    <t>Реконструкция участка сети дождевой канализации с устройством очистных сооружений по ул. Тургенева, ул. Герцена в г. Калининграде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</si>
  <si>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</si>
  <si>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>Реконструкция участка сети дождевой канализации диаметром 450 мм с устройством очистных сооружений по ул. Колхозной в г. Калининграде</t>
  </si>
  <si>
    <t>Реконструкция участка сети дождевой канализации диаметром 700 мм с устройством очистных сооружений по ул. Колхозной в г. Калининграде</t>
  </si>
  <si>
    <t>Реконструкция участка сети дождевой канализации с устройством очистных сооружений в районе Московского пр-та в 
г. Калининграде</t>
  </si>
  <si>
    <t>№ 376 от 24.05.2023</t>
  </si>
  <si>
    <t>Строительство общеобразовательной школы по 
ул. Героя России Мариенко в г. Калининграде</t>
  </si>
  <si>
    <t>КМИиЗР</t>
  </si>
  <si>
    <t xml:space="preserve">Изъятие объектов недвижимого имущества </t>
  </si>
  <si>
    <t>Реконструкция ул. Интернациональной в 
г. Калининграде (от ул. Аллея Смелых до 
ул. Ген. Толстикова)</t>
  </si>
  <si>
    <t>Техническое перевооружение с переводом на природный газ котельной, расположенной по адресу: г. Калининград, ул. Подп. Емельянова, 156б</t>
  </si>
  <si>
    <t>2023-2026</t>
  </si>
  <si>
    <t>2026 г.</t>
  </si>
  <si>
    <t>2021-2026</t>
  </si>
  <si>
    <t>2022-2026</t>
  </si>
  <si>
    <t>Строительство физкультурно-оздоровительного комплекса по ул. Докука в г. Калининграде</t>
  </si>
  <si>
    <t>2025-2026</t>
  </si>
  <si>
    <t xml:space="preserve">Строительство проезда от ул. Р. Зорге до 
ул. Краснопрудная в г. Калининграде </t>
  </si>
  <si>
    <t>2024-2026</t>
  </si>
  <si>
    <t>Строительство модульной котельной по 
ул. Барклая де Толли, 17 в г. Калининграде</t>
  </si>
  <si>
    <t>Строительство физкультурно-оздоровительного комплекса по ул. Барклая де Толли в 
г. Калининграде</t>
  </si>
  <si>
    <t>МБУ "Чистота"</t>
  </si>
  <si>
    <t>Строительство «Детской школы искусств» по 
ул. Свердлова в г. Калининграде</t>
  </si>
  <si>
    <t>Строительство модульной котельной для обеспечения теплоснабжением многоквартирного жилого дома по ул. Ю. Гагарина, 41-45 и 
МАОУ СОШ № 2 по ул. Ю. Гагарина, 55 в 
г. Калининграде</t>
  </si>
  <si>
    <t>Строительство сетей и сооружений водоотведения в мкр. Менделеево в г. Калининграде (1 очередь)</t>
  </si>
  <si>
    <t>Строительство газовой котельной по 
ул. Киевская в г. Калининграде и участков тепловой сети от котельной до границ вновь образованного земельного участка</t>
  </si>
  <si>
    <t>Реконструкция нежилого здания (котельная) по улице Подполковника Емельянова, 80А в 
г. Калининграде в целях его приспособления под административное здание</t>
  </si>
  <si>
    <t>Приложение 
к постановлению администрации 
городского округа 
«Город Калининград» 
от 27 декабря 2023 г. № 1097</t>
  </si>
  <si>
    <t xml:space="preserve">Разработка проектной документации </t>
  </si>
  <si>
    <t>Строительство ул. Закатной и участка 
ул. Арсенальной от ул. Закатной до 
ул. Краснокаменной в г. Калининграде</t>
  </si>
  <si>
    <t>Строительство снегосплавного пункта в 
г. Калининграде</t>
  </si>
  <si>
    <t>№ 169 от 06.03.2024</t>
  </si>
  <si>
    <t>Строительство физкультурно-оздоровительного комплекса по ул. Железнодорожной в г. Калининграде</t>
  </si>
  <si>
    <t>Строительство улицы Тихоокеанской от 
ул. Алданская до ул. Спасателей
в городе Калининграде, включая вынос (переустройство) двухцепного участка ВЛ 15-99, ВЛ 15-101</t>
  </si>
  <si>
    <t>Реконструкция ул. Челюскинская от 
ул. Тихоокеанская до дома №20/22 по 
ул. Челюскинская в г. Калининграде</t>
  </si>
  <si>
    <t>Реконструкция перекрестка ул. Майская - 
ул. Партизана Железняка в г. Калининграде</t>
  </si>
  <si>
    <t>Строительство эстакады с устройством инженерных сетей по ул. А. Суворова в
г. Калининграде</t>
  </si>
  <si>
    <t>Администрация</t>
  </si>
  <si>
    <t>МБУ «САТО»</t>
  </si>
  <si>
    <t>Адресная инвестиционная программа городского округа «Город Калининград» на 2025 г. и плановый период 2026-2027 гг.</t>
  </si>
  <si>
    <t>1.*</t>
  </si>
  <si>
    <t>2027 г.</t>
  </si>
  <si>
    <t>2026-2027</t>
  </si>
  <si>
    <t>2023-2027</t>
  </si>
  <si>
    <t>Строительство ул. Благовещенской в г. Калининграде (1 этап)</t>
  </si>
  <si>
    <t>Строительство ул. В. Денисова в 
г. Калининграде</t>
  </si>
  <si>
    <t>2019-2026</t>
  </si>
  <si>
    <t>Строительство тепловой сети с целью переключения потребителей котельной по адресу ул. Молодой Гвардии, 4 в 
г. Калининграде на централизованное теплоснабжение</t>
  </si>
  <si>
    <t>6.</t>
  </si>
  <si>
    <t>Строительство тепловой сети с целью переключения потребителей малой угольной котельной по адресу ул. Чувашская, 1а в 
г. Калининграде на централизованное теплоснабжение</t>
  </si>
  <si>
    <t>Реконструкция тепловой сети с целью переключения потребителей котельной по адресу ул. П. Морозова, 115Д в г. Калининграде на централизованное теплоснабжение</t>
  </si>
  <si>
    <t>Строительство тепловой сети с целью переключения потребителей угольной котельной по адресу ул. Аллея смелых, 152а в 
г. Калининграде на централизованное теплоснабжение</t>
  </si>
  <si>
    <t xml:space="preserve">Строительство газовой блочно-модульной котельной по ул. Энгельса, 51а в 
г. Калининграде </t>
  </si>
  <si>
    <t>Техническое перевооружение с переводом на природный газ котельной по проспекту Победы, 199 в г. Калининграде</t>
  </si>
  <si>
    <t>Реконструкция защитного сооружения гражданской обороны – убежище 
№ 84 - Кл/у – 40, г. Калининград, 
ул. Ялтинская, 66</t>
  </si>
  <si>
    <t>Реконструкция хозяйственно-бытовой канализации для объектов
«Ластоногие» и «Львятник»</t>
  </si>
  <si>
    <t>Разработка проектной и рабочей документации</t>
  </si>
  <si>
    <t>Строительство осушительной сети на территории в границах ул. Украинская –  
ул. Согласия – ул. Рассветная – 
ул. Горького в г. Калининграде</t>
  </si>
  <si>
    <t>Реконструкция участка сети дождевой канализации по ул. Генерала Павлова в 
г. Калининграде</t>
  </si>
  <si>
    <t>Реконструкция участка сети дождевой канализации по ул. Тихорецкий тупик в 
г. Калининграде</t>
  </si>
  <si>
    <t xml:space="preserve">Реконструкция участка сети дождевой канализации по ул. Тихорецкой в 
г. Калининграде
</t>
  </si>
  <si>
    <t>Реконструкция участка сети дождевой канализации по ул. Судостроительной в 
г. Калининграде</t>
  </si>
  <si>
    <t xml:space="preserve">Реконструкция участка сети дождевой канализации по ул. Октябрьской в 
г. Калининграде
</t>
  </si>
  <si>
    <t>Реконструкция участка сети дождевой канализации диаметром 600 мм с устройством очистных сооружений по ул. Д. Донского (район детской областной больницы) в  
г. Калининграде</t>
  </si>
  <si>
    <t>Реконструкция участка сети дождевой канализации диаметром 750 мм с устройством очистных сооружений по ул. Д. Донского 
(район детской областной больницы) в 
г. Калининграде</t>
  </si>
  <si>
    <t>Реконструкция участка сети дождевой канализации диаметром 300 мм с устройством очистных сооружений по пр-ду Октябрьскому
 2-му в г. Калининграде</t>
  </si>
  <si>
    <t>Реконструкция участка сети дождевой канализации диаметром 300 мм с устройством очистных сооружений по пр-ду Октябрьскому
 1-му в г. Калининграде</t>
  </si>
  <si>
    <t xml:space="preserve">Реконструкция участка сети дождевой канализации диаметром 600 мм с устройством очистных сооружений по ул. Генделя − 
ул. Брамса в г. Калининграде
</t>
  </si>
  <si>
    <t>Реконструкция участка сети дождевой канализации диаметром 800 мм с устройством очистных сооружений по пр-кту Мира-                             ул. Гостиной в г. Калининграде</t>
  </si>
  <si>
    <t>Реконструкция участка сети дождевой канализации диаметром 500 мм с устройством очистных сооружений по пр-кту Советскому (ориентир жилой дом № 7) в г. Калининграде</t>
  </si>
  <si>
    <t>Реконструкция моста Эстакадного</t>
  </si>
  <si>
    <t>2021-2027</t>
  </si>
  <si>
    <t>МАУ ДО СШ 
№ 12 ПО БОКСУ</t>
  </si>
  <si>
    <t>2020-2027</t>
  </si>
  <si>
    <t>Строительство общеобразовательной школы по ул. Благовещенской в г. Калининграде</t>
  </si>
  <si>
    <t>Строительство нового корпуса общеобразовательной школы № 11 по ул. Мира в г. Калининграде</t>
  </si>
  <si>
    <t>7.</t>
  </si>
  <si>
    <t>8.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</si>
  <si>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</si>
  <si>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</si>
  <si>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</si>
  <si>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</si>
  <si>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</si>
  <si>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</si>
  <si>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</si>
  <si>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</si>
  <si>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</si>
  <si>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</si>
  <si>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</si>
  <si>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</si>
  <si>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</si>
  <si>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</si>
  <si>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</si>
  <si>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</si>
  <si>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</si>
  <si>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</si>
  <si>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</si>
  <si>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</si>
  <si>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</si>
  <si>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</si>
  <si>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</si>
  <si>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</si>
  <si>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</si>
  <si>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</si>
  <si>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</si>
  <si>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</si>
  <si>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</si>
  <si>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</si>
  <si>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</si>
  <si>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</si>
  <si>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</si>
  <si>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</si>
  <si>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</si>
  <si>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Строительство газовой котельной и реконструкция системы теплоснабжения МАДОУ детский сад 
№ 11 по ул. Ю. Гагарина, 79 в г. Калининграде</t>
  </si>
  <si>
    <t>Реконструкция участка сети дождевой канализации диаметром 250 мм с устройством очистных сооружений по ул. Сержанта Колоскова (в районе магазина «Спар») в                            
г. Калининграде</t>
  </si>
  <si>
    <t>Строительство участка сети дождевой канализации по ул. Полецкого в районе домов 
№ 101-110 в г. Калининграде</t>
  </si>
  <si>
    <t>2024-2027</t>
  </si>
  <si>
    <t>Строительство ул. Горчакова 
(от ул. Ген. Челнокова до ул. Согласия) в г. Калининграде</t>
  </si>
  <si>
    <t>Строительство бул. Снегова и участка 
ул. Стрелецкой в г. Калининграде</t>
  </si>
  <si>
    <t>40.*</t>
  </si>
  <si>
    <t>82.</t>
  </si>
  <si>
    <t>83.</t>
  </si>
  <si>
    <t>84.</t>
  </si>
  <si>
    <t>85.</t>
  </si>
  <si>
    <t>86.</t>
  </si>
  <si>
    <t>23.</t>
  </si>
  <si>
    <t>ОБРАЗОВАНИЕ</t>
  </si>
  <si>
    <t>10.*</t>
  </si>
  <si>
    <t>11.</t>
  </si>
  <si>
    <t>12.</t>
  </si>
  <si>
    <t>13.</t>
  </si>
  <si>
    <t>СПОРТ И МОЛОДЕЖЬ</t>
  </si>
  <si>
    <t>РАЗВИТИЕ ДОРОЖНО-ТРАНСПОРТНОГО КОМПЛЕКСА</t>
  </si>
  <si>
    <t>КОМФОРТНЫЙ ГОРОД</t>
  </si>
  <si>
    <t>МУНИЦИПАЛЬНОЕ УПРАВЛЕНИЕ</t>
  </si>
  <si>
    <t>9.</t>
  </si>
  <si>
    <t xml:space="preserve"> от 08.04.2020 № 293
(в редакции от 01.02.2024 № 57)</t>
  </si>
  <si>
    <t xml:space="preserve"> от 23.07.2021 № 597
(в редакции от 23.08.2021 № 684, от 17.11.2022 № 1072)</t>
  </si>
  <si>
    <t xml:space="preserve"> от 23.07.2021 № 609
(в редакции от 23.08.2021 № 684, от 17.11.2022 № 1072)</t>
  </si>
  <si>
    <t xml:space="preserve"> от 23.07.2021 № 608
(в редакции от 23.08.2021 № 684, от 17.11.2022 № 1072)</t>
  </si>
  <si>
    <t xml:space="preserve"> от 13.01.2023 № 13</t>
  </si>
  <si>
    <t xml:space="preserve"> от 07.10.2024 № 882</t>
  </si>
  <si>
    <t xml:space="preserve"> от 10.12.2019 № 1133
 (в редакции от 25.10.2022 № 1000)</t>
  </si>
  <si>
    <t xml:space="preserve"> от 09.08.2022 № 681</t>
  </si>
  <si>
    <t xml:space="preserve"> от 07.10.2024 № 886</t>
  </si>
  <si>
    <t xml:space="preserve"> от 13.02.2024 № 99</t>
  </si>
  <si>
    <t xml:space="preserve"> от 29.03.2021 № 187
(в редакции от 03.06.2024 № 424)</t>
  </si>
  <si>
    <t xml:space="preserve">от 14.02.2024 № 112 </t>
  </si>
  <si>
    <t xml:space="preserve"> от 25.10.2023 № 801</t>
  </si>
  <si>
    <t xml:space="preserve"> от 18.04.2017 № 569
 (в редакции от 22.11.2023 № 872)</t>
  </si>
  <si>
    <t xml:space="preserve"> от 04.06.2021 № 443
(в редакции от 13.11.2024 № 992)</t>
  </si>
  <si>
    <t xml:space="preserve"> от 08.11.2023 № 843      (в редакции от 06.05.2024 № 326)</t>
  </si>
  <si>
    <t>от 04.06.2021 № 441 
(в редакции от 19.09.2024 № 822)</t>
  </si>
  <si>
    <t xml:space="preserve"> от 30.11.2015 № 1996
 (в редакции от 25.09.2024 № 842)</t>
  </si>
  <si>
    <t>от 06.11.2020 № 1006 
 (в редакции от 12.09.2024 № 793)</t>
  </si>
  <si>
    <t>от 07.06.2018 № 574 
(в редакции от 22.10.2024 № 927)</t>
  </si>
  <si>
    <t xml:space="preserve"> от 07.06.2018 № 574
(в редакции от 22.10.2024 № 927)</t>
  </si>
  <si>
    <t xml:space="preserve"> от 15.07.2022 № 579</t>
  </si>
  <si>
    <t>от 07.06.2023 № 413 
(в редакции от 22.10.2024 № 919)</t>
  </si>
  <si>
    <t xml:space="preserve"> от 30.05.2018 № 531
 (в редакции от 04.12.2024 № 1053)</t>
  </si>
  <si>
    <t xml:space="preserve"> от 04.10.2024 № 869</t>
  </si>
  <si>
    <t xml:space="preserve">от 03.10.2023 № 747 </t>
  </si>
  <si>
    <t xml:space="preserve"> от 07.10.2024 № 881</t>
  </si>
  <si>
    <t xml:space="preserve">от 04.10.2024 № 872 </t>
  </si>
  <si>
    <t xml:space="preserve">от 04.10.2024 № 873 </t>
  </si>
  <si>
    <t xml:space="preserve"> от 03.10.2023 № 748</t>
  </si>
  <si>
    <t xml:space="preserve"> от 13.12.2023 № 944</t>
  </si>
  <si>
    <t xml:space="preserve"> от 26.09.2024 № 848</t>
  </si>
  <si>
    <t xml:space="preserve">от 04.10.2024 № 868 </t>
  </si>
  <si>
    <t xml:space="preserve"> от 07.10.2024 № 883</t>
  </si>
  <si>
    <t xml:space="preserve"> от 04.10.2024 № 867</t>
  </si>
  <si>
    <t xml:space="preserve">от 04.10.2024 № 874 </t>
  </si>
  <si>
    <t xml:space="preserve"> от 04.10.2024 № 870 </t>
  </si>
  <si>
    <t xml:space="preserve">от 28.10.2024 № 941 </t>
  </si>
  <si>
    <t xml:space="preserve"> от 24.10.2024 № 935</t>
  </si>
  <si>
    <t xml:space="preserve"> от 24.10.2024 № 937</t>
  </si>
  <si>
    <t xml:space="preserve">от 28.10.2024 № 942 </t>
  </si>
  <si>
    <t xml:space="preserve"> от 08.11.2024 № 982</t>
  </si>
  <si>
    <t xml:space="preserve"> от 07.10.2024 № 884</t>
  </si>
  <si>
    <t xml:space="preserve"> от 08.11.2024 № 981</t>
  </si>
  <si>
    <t xml:space="preserve"> от 08.11.2024 № 979</t>
  </si>
  <si>
    <t xml:space="preserve"> от 28.10.2024 № 940</t>
  </si>
  <si>
    <t xml:space="preserve">от 14.11.2024 № 997 </t>
  </si>
  <si>
    <t>от 21.11.2023 № 866  
(в редакции от 11.07.2024 № 614)</t>
  </si>
  <si>
    <t xml:space="preserve"> от 14.10.2024 № 905</t>
  </si>
  <si>
    <t>Въездной знак «Калининград», расположенный в районе транспортной развязки на 
г. Зеленоградск</t>
  </si>
  <si>
    <t>Строительство сетей и сооружений дождевой канализации на территории в границах ул. Украинская – ул. Согласия – ул. Рассветная -ул. Горького в г. Калининграде (2 этап)</t>
  </si>
  <si>
    <t>Строительство газовой котельной «Прибрежная» по ул. Заводская в г. Калининграде с переключением на нее потребителей</t>
  </si>
  <si>
    <t>Строительство газовой котельной «Чкаловск» по ул. Докука в г. Калининграде с переключением на нее потребителей</t>
  </si>
  <si>
    <t>Строительство тепловой сети с целью подключения ЦТП «Парусная» по ул. Казанской в г. Калининграде</t>
  </si>
  <si>
    <t>Реконструкция ул. Аллея смелых в 
г. Калининграде, Калининградская область 
(2 этап)</t>
  </si>
  <si>
    <t>Реконструкция ул. Аллея смелых в 
г. Калининграде, Калининградская область 
(3 этап)</t>
  </si>
  <si>
    <t>2023-2029</t>
  </si>
  <si>
    <t>МБУ «Чистота»</t>
  </si>
  <si>
    <t xml:space="preserve"> от 26.12.2018 № 1256
(в редакции от 23.12.2024 № 1136)</t>
  </si>
  <si>
    <t>Профинансиро-вано на 01.01.2025, 
тыс. руб.</t>
  </si>
  <si>
    <t>2025-2027</t>
  </si>
  <si>
    <t>Техническое перевооружение с переводом на природный газ существующей котельной в здании МП «Муниципальные бани» по 
ул. Дзержинского, 71 в г. Калининграде</t>
  </si>
  <si>
    <t>МП «Муниципаль-ные бани»</t>
  </si>
  <si>
    <t>87.</t>
  </si>
  <si>
    <t>88.</t>
  </si>
  <si>
    <t xml:space="preserve">Строительство ул. Благовещенской в г. Калининграде 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</si>
  <si>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</si>
  <si>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2019-2025</t>
  </si>
  <si>
    <t>2027-2028</t>
  </si>
  <si>
    <t xml:space="preserve"> от 03.11.2022 № 1018 (в редакции от 05.02.2025 № 61)</t>
  </si>
  <si>
    <t>2025-2028</t>
  </si>
  <si>
    <t>2026-2029</t>
  </si>
  <si>
    <t>№ 1155 от 13.12.2019
 (в редакции от 18.02.2025 № 102)</t>
  </si>
  <si>
    <t xml:space="preserve"> от 22.01.2021 № 30
 (в редакции от 13.02.2025 № 82)</t>
  </si>
  <si>
    <t xml:space="preserve"> от 26.05.2022 № 375
(в редакции от  14.02.2025 № 91)</t>
  </si>
  <si>
    <t xml:space="preserve"> от 11.03.2022 № 134
(в редакции от  14.02.2025 № 92)</t>
  </si>
  <si>
    <t xml:space="preserve"> от 26.05.2022 № 374
(в редакции от  25.02.2025 № 147)</t>
  </si>
  <si>
    <t>Корректировка проектной документации</t>
  </si>
  <si>
    <t>2025-2029</t>
  </si>
  <si>
    <t xml:space="preserve"> от 25.06.2020 № 482
 (в редакции от 18.02.2025 № 103)</t>
  </si>
  <si>
    <t>Реконструкция ул. Аллея Смелых в 
г. Калининграде, Калининградская область 
(4 этап)</t>
  </si>
  <si>
    <t>2017-2025</t>
  </si>
  <si>
    <t>2027-2030</t>
  </si>
  <si>
    <t xml:space="preserve"> от 03.06.2021 № 429
 (в редакции от 11.02.2025 № 79)</t>
  </si>
  <si>
    <t>Реконструкция участка тепловой сети по ул. Некрасова от границы земельного участка с КН 39:15:131808:580 (ул. Лескова, 12) до ТК 9-9 в г.Калининграде</t>
  </si>
  <si>
    <t xml:space="preserve">Строительство улично-дорожной сети в Восточном жилом районе г. Калининграда </t>
  </si>
  <si>
    <t xml:space="preserve"> от 01.06.2021 № 423
(в редакции от 13.03.2023 № 130, 
от 13.02.2025 № 81)</t>
  </si>
  <si>
    <t>УТВЕРЖДЕНА</t>
  </si>
  <si>
    <t xml:space="preserve"> от 25.06.2020 № 483 
(в редакции от 18.03.2025 № 244)</t>
  </si>
  <si>
    <t xml:space="preserve">Строительство газовой котельной «Цепрусс» с переключением на нее многоквартирных жилых домов </t>
  </si>
  <si>
    <t>от 01.11.2023 № 819 
(в редакции от 18.03.2025 № 246)</t>
  </si>
  <si>
    <t xml:space="preserve">от 19.03.2025 № 252 </t>
  </si>
  <si>
    <t xml:space="preserve">
постановлением администрации 
городского округа 
«Город Калининград»
от «28» декабря 2024 г. № 1162</t>
  </si>
  <si>
    <t>41.*</t>
  </si>
  <si>
    <t>42.*</t>
  </si>
  <si>
    <t>43.*</t>
  </si>
  <si>
    <t>89.</t>
  </si>
  <si>
    <t>от 26.05.2022 № 370 
(в редакции от  20.02.2025 № 128)</t>
  </si>
  <si>
    <t xml:space="preserve"> от 26.05.2022 № 372
(в редакции от  14.02.2025 № 87)</t>
  </si>
  <si>
    <t>от 26.05.2022 № 373 
(в редакции от  27.02.2025 № 153)</t>
  </si>
  <si>
    <t xml:space="preserve"> от 26.05.2022 № 371
(в редакции от  20.02.2025 № 129)</t>
  </si>
  <si>
    <t>90.</t>
  </si>
  <si>
    <t>91.</t>
  </si>
  <si>
    <t>92.</t>
  </si>
  <si>
    <t>93.</t>
  </si>
  <si>
    <t>Реконструкция защитного сооружения гражданской обороны – укрытие 
№ 50 - Кл/у – 40, г. Калининград, 
ул. Мусоргского, д. 10</t>
  </si>
  <si>
    <t xml:space="preserve"> от 07.10.2024 № 880 
(в редакции от 04.04.2025 № 283)</t>
  </si>
  <si>
    <t xml:space="preserve"> от 07.10.2022 № 911 
(в редакции от 25.02.2025 № 146)</t>
  </si>
  <si>
    <t>Приложение</t>
  </si>
  <si>
    <t>от 26.11.2019 № 1087 
(в редакции от 07.03.2025 № 208)</t>
  </si>
  <si>
    <t>от 13.03.2023 № 133  
(в редакции от 18.03.2025 № 245)</t>
  </si>
  <si>
    <t>* Реализация объектов возможна при условии выделения средств вышестоящих бюджетов бюджетной системы Российской Федерации.</t>
  </si>
  <si>
    <t xml:space="preserve">от 12.12.2023 № 940 </t>
  </si>
  <si>
    <t xml:space="preserve">от 06.03.2025 № 189 </t>
  </si>
  <si>
    <t>от 11.10.2023 № 781 
(в редакции от 09.01.2025 № 2)</t>
  </si>
  <si>
    <t>Система сбора первичной очистки фильтрата, образуемого от рекультивированного полигона твердых коммунальных отходов, расположенного по адресу Калининградская область, 
г. Калининград, ш. Балтийское (земельные участки с кадастровыми номерами 39:15:111201:68 и 39:15:111201:291), и его удаление в систему канализации или сброс фильтрата после очистки в водные объекты при соблюдении гигиенических нормативов</t>
  </si>
  <si>
    <t xml:space="preserve"> от 24.08.2023 № 640
(в редакции от 18.03.2025 № 246)</t>
  </si>
  <si>
    <t xml:space="preserve"> от 17.10.2022 № 940
(в редакции от 18.03.2025 № 246)</t>
  </si>
  <si>
    <t xml:space="preserve"> от 03.10.2023 № 749
(в редакции от 18.03.2025 № 246)</t>
  </si>
  <si>
    <t xml:space="preserve"> от 31.05.2024 № 420
(в редакции от 17.03.2025 № 229 )</t>
  </si>
  <si>
    <t xml:space="preserve"> от 25.06.2020 № 490
(в редакции от 16.05.2025 № 362)</t>
  </si>
  <si>
    <t xml:space="preserve"> от 11.12.2020 № 1134
 (в редакции от 23.05.2025 № 404)</t>
  </si>
  <si>
    <t>2021-2029</t>
  </si>
  <si>
    <t xml:space="preserve"> от 03.10.2023 № 750
(в редакции от 30.05.2025 № 419) </t>
  </si>
  <si>
    <t xml:space="preserve"> от 19.10.2022 № 971
(в редакции от 05.10.2023 №758, от 30.11.2023 № 897, от 30.05.2025 № 419)</t>
  </si>
  <si>
    <t xml:space="preserve"> от 11.09.2020 № 779
 (в редакции от 10.06.2025 № 437)</t>
  </si>
  <si>
    <t>2022-2027</t>
  </si>
  <si>
    <t xml:space="preserve">Строительство улично-дорожной сети 
на о. Октябрьском в г. Калининграде </t>
  </si>
  <si>
    <t xml:space="preserve"> от 10.06.2025 № 436</t>
  </si>
  <si>
    <t>от 05.06.2024 № 436 
(в редакции от 16.06.2025 № 467)</t>
  </si>
  <si>
    <t>от 02.02.2024 № 59 
(в редакции от 01.07.2025 № 512)</t>
  </si>
  <si>
    <t xml:space="preserve"> от 05.06.2024 № 441 (в редакции от 01.07.2025 № 514)</t>
  </si>
  <si>
    <t>от 04.10.2024 № 871 
(в редакции от 16.07.2025 № 544)</t>
  </si>
  <si>
    <t xml:space="preserve">от 25.10.2022 № 999
(в редакции от 16.07.2025 № 541) </t>
  </si>
  <si>
    <t xml:space="preserve"> от 02.10.2019 № 910 
(в редакции от 23.07.2025 № 552)</t>
  </si>
  <si>
    <t>Строительство участка сети дождевой канализации с устройством очистных сооружений по ул. Портовой в г. Калининграде</t>
  </si>
  <si>
    <t xml:space="preserve">от 10.08.2023 № 598 
(в редакции от 29.07.2025 № 559) </t>
  </si>
  <si>
    <t>от 31.05.2022 № 389 
(в редакции от 05.08.2025 № 582)</t>
  </si>
  <si>
    <t>от 07.08.2025 № 590</t>
  </si>
  <si>
    <t>Строительство газовой котельной и реконструкция системы теплоснабжения МАДОУ детский                                                                          сад № 5, расположенный по                                             адресу: ул. Маршала Новикова, 25-27</t>
  </si>
  <si>
    <t xml:space="preserve">МБУ «УКС» </t>
  </si>
  <si>
    <t xml:space="preserve"> от 10.12.2019 № 1131 
(в редакции от 20.08.2025 № 644)</t>
  </si>
  <si>
    <t>18.*</t>
  </si>
  <si>
    <t>21.</t>
  </si>
  <si>
    <t>25.</t>
  </si>
  <si>
    <t>28.*</t>
  </si>
  <si>
    <t>31.</t>
  </si>
  <si>
    <t>33.</t>
  </si>
  <si>
    <t>34.*</t>
  </si>
  <si>
    <t>37.</t>
  </si>
  <si>
    <t>38.</t>
  </si>
  <si>
    <t>44.*</t>
  </si>
  <si>
    <t>94.</t>
  </si>
  <si>
    <t>95.</t>
  </si>
  <si>
    <t>96.</t>
  </si>
  <si>
    <t>2026-2028</t>
  </si>
  <si>
    <t>Строительство дренажной системы здания МАДОУ ЦРР д/с № 133 по ул. 3-го Белорусского фронта, зд. 1</t>
  </si>
  <si>
    <t>Реконструкция системы теплоснабжения с устройством электрического котла МАУДО ДДТ "Родник" по ул. Нефтяной, 2 в г. Калининграде</t>
  </si>
  <si>
    <t>от 17.09.2025 № 733</t>
  </si>
  <si>
    <t>14.*</t>
  </si>
  <si>
    <t>15.</t>
  </si>
  <si>
    <t>16.</t>
  </si>
  <si>
    <t>17.</t>
  </si>
  <si>
    <t>19.*</t>
  </si>
  <si>
    <t>20.*</t>
  </si>
  <si>
    <t>22.</t>
  </si>
  <si>
    <t>24.*</t>
  </si>
  <si>
    <t>26.</t>
  </si>
  <si>
    <t>27.</t>
  </si>
  <si>
    <t>29.*</t>
  </si>
  <si>
    <t>30.*</t>
  </si>
  <si>
    <t>32.</t>
  </si>
  <si>
    <t>35.</t>
  </si>
  <si>
    <t>36.*</t>
  </si>
  <si>
    <t>39.</t>
  </si>
  <si>
    <t>45.*</t>
  </si>
  <si>
    <t>46.*</t>
  </si>
  <si>
    <t>97.</t>
  </si>
  <si>
    <t>98.</t>
  </si>
  <si>
    <t>от 30.09.2025 № 758</t>
  </si>
  <si>
    <t>Строительство участка сети
ливневой канализации по ул. Аральской (от ул. Лужской до ул. Карташева) в
г. Калининграде</t>
  </si>
  <si>
    <t xml:space="preserve">от 30.09.2025 № 757 </t>
  </si>
  <si>
    <t>99.</t>
  </si>
  <si>
    <t xml:space="preserve">Разработка проектной  документации </t>
  </si>
  <si>
    <t>Разработка проектной  документации</t>
  </si>
  <si>
    <t xml:space="preserve"> от 09.12.2024 № 1060 (в редакции от
17.10.2025 № 795)</t>
  </si>
  <si>
    <t>Строительство здания склада по 
ул. Ю. Гагарина, 103-103А, в г. Калининграде</t>
  </si>
  <si>
    <t>Приложение
к постановлению администрации 
городского округа 
«Город Калининград»
от «06» 11 2025  г. № 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</si>
</sst>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/>
    <xf numFmtId="0" fontId="0" fillId="2" borderId="0" xfId="0" applyFill="1"/>
    <xf numFmtId="4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4" fontId="1" fillId="0" borderId="1" xfId="0" applyNumberFormat="1" applyFont="1" applyBorder="1" applyAlignment="1">
      <alignment vertical="center" wrapText="1"/>
    </xf>
    <xf numFmtId="0" fontId="2" fillId="0" borderId="0" xfId="0" applyFont="1" applyFill="1"/>
    <xf numFmtId="4" fontId="1" fillId="0" borderId="1" xfId="0" applyNumberFormat="1" applyFont="1" applyBorder="1" applyAlignment="1">
      <alignment horizontal="left" vertical="center" wrapText="1"/>
    </xf>
    <xf numFmtId="0" fontId="2" fillId="3" borderId="0" xfId="0" applyFont="1" applyFill="1"/>
    <xf numFmtId="4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2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  <xf numFmtId="4" fontId="2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FFCD"/>
      <color rgb="FFE6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9"/>
  <sheetViews>
    <sheetView tabSelected="1" view="pageBreakPreview" topLeftCell="A397" zoomScale="80" zoomScaleNormal="80" zoomScaleSheetLayoutView="80" workbookViewId="0">
      <selection activeCell="B70" sqref="B70:B74"/>
    </sheetView>
  </sheetViews>
  <sheetFormatPr defaultRowHeight="14.4" outlineLevelRow="1" x14ac:dyDescent="0.3"/>
  <cols>
    <col min="1" max="1" width="4.109375" style="1" customWidth="1"/>
    <col min="2" max="2" width="47.5546875" style="1" customWidth="1"/>
    <col min="3" max="3" width="23.109375" style="1" customWidth="1"/>
    <col min="4" max="4" width="17.109375" style="1" customWidth="1"/>
    <col min="5" max="5" width="14.5546875" style="1" customWidth="1"/>
    <col min="6" max="6" width="17.109375" style="10" customWidth="1"/>
    <col min="7" max="7" width="12" style="10" customWidth="1"/>
    <col min="8" max="8" width="19.109375" style="1" customWidth="1"/>
    <col min="9" max="9" width="15.5546875" style="16" customWidth="1"/>
    <col min="10" max="10" width="10" style="1" customWidth="1"/>
    <col min="11" max="11" width="13.109375" style="8" bestFit="1" customWidth="1"/>
    <col min="12" max="12" width="13.6640625" style="1" bestFit="1" customWidth="1"/>
    <col min="13" max="13" width="13.109375" style="1" bestFit="1" customWidth="1"/>
    <col min="14" max="14" width="11.33203125" style="1" bestFit="1" customWidth="1"/>
    <col min="15" max="15" width="12.5546875" style="1" customWidth="1"/>
    <col min="16" max="16" width="14.5546875" style="1" customWidth="1"/>
    <col min="17" max="19" width="9.109375" style="1"/>
  </cols>
  <sheetData>
    <row r="1" spans="1:19" ht="89.4" customHeight="1" x14ac:dyDescent="0.35">
      <c r="A1" s="8"/>
      <c r="B1" s="8"/>
      <c r="C1" s="8"/>
      <c r="D1" s="8"/>
      <c r="E1" s="8"/>
      <c r="F1" s="12"/>
      <c r="G1" s="8"/>
      <c r="H1" s="8"/>
      <c r="I1" s="12"/>
      <c r="J1" s="8"/>
      <c r="K1" s="185" t="s">
        <v>392</v>
      </c>
      <c r="L1" s="185"/>
      <c r="M1" s="185"/>
    </row>
    <row r="2" spans="1:19" ht="20.399999999999999" customHeight="1" x14ac:dyDescent="0.35">
      <c r="A2" s="8"/>
      <c r="B2" s="8"/>
      <c r="C2" s="8"/>
      <c r="D2" s="8"/>
      <c r="E2" s="8"/>
      <c r="F2" s="12"/>
      <c r="G2" s="8"/>
      <c r="H2" s="8"/>
      <c r="I2" s="12"/>
      <c r="J2" s="8"/>
      <c r="K2" s="114"/>
      <c r="L2" s="113"/>
      <c r="M2" s="113"/>
    </row>
    <row r="3" spans="1:19" ht="20.399999999999999" customHeight="1" x14ac:dyDescent="0.35">
      <c r="A3" s="8"/>
      <c r="B3" s="8"/>
      <c r="C3" s="8"/>
      <c r="D3" s="8"/>
      <c r="E3" s="8"/>
      <c r="F3" s="12"/>
      <c r="G3" s="8"/>
      <c r="H3" s="8"/>
      <c r="I3" s="12"/>
      <c r="J3" s="8"/>
      <c r="K3" s="185" t="s">
        <v>313</v>
      </c>
      <c r="L3" s="185"/>
      <c r="M3" s="185"/>
    </row>
    <row r="4" spans="1:19" ht="19.8" customHeight="1" x14ac:dyDescent="0.35">
      <c r="A4" s="8"/>
      <c r="B4" s="8"/>
      <c r="C4" s="8"/>
      <c r="D4" s="8"/>
      <c r="E4" s="8"/>
      <c r="F4" s="12"/>
      <c r="G4" s="8"/>
      <c r="H4" s="8"/>
      <c r="I4" s="12"/>
      <c r="J4" s="8"/>
      <c r="K4" s="185" t="s">
        <v>292</v>
      </c>
      <c r="L4" s="185"/>
      <c r="M4" s="185"/>
    </row>
    <row r="5" spans="1:19" s="4" customFormat="1" ht="81" customHeight="1" x14ac:dyDescent="0.35">
      <c r="A5" s="8"/>
      <c r="B5" s="8"/>
      <c r="C5" s="8"/>
      <c r="D5" s="8"/>
      <c r="E5" s="8"/>
      <c r="F5" s="8"/>
      <c r="G5" s="8"/>
      <c r="H5" s="8"/>
      <c r="I5" s="12"/>
      <c r="J5" s="8"/>
      <c r="K5" s="185" t="s">
        <v>297</v>
      </c>
      <c r="L5" s="185"/>
      <c r="M5" s="185"/>
      <c r="N5" s="8"/>
      <c r="O5" s="8"/>
      <c r="P5" s="8"/>
      <c r="Q5" s="8"/>
      <c r="R5" s="8"/>
      <c r="S5" s="8"/>
    </row>
    <row r="6" spans="1:19" s="4" customFormat="1" ht="21" customHeight="1" x14ac:dyDescent="0.3">
      <c r="A6" s="8"/>
      <c r="B6" s="8"/>
      <c r="C6" s="8"/>
      <c r="D6" s="8"/>
      <c r="E6" s="8"/>
      <c r="F6" s="8"/>
      <c r="G6" s="8"/>
      <c r="H6" s="8"/>
      <c r="I6" s="12"/>
      <c r="J6" s="86"/>
      <c r="K6" s="119"/>
      <c r="L6" s="86"/>
      <c r="M6" s="86"/>
      <c r="N6" s="8"/>
      <c r="O6" s="8"/>
      <c r="P6" s="8"/>
      <c r="Q6" s="8"/>
      <c r="R6" s="8"/>
      <c r="S6" s="8"/>
    </row>
    <row r="7" spans="1:19" s="4" customFormat="1" ht="78.75" hidden="1" customHeight="1" x14ac:dyDescent="0.3">
      <c r="A7" s="8"/>
      <c r="F7" s="8"/>
      <c r="G7" s="12"/>
      <c r="I7" s="12"/>
      <c r="J7" s="40"/>
      <c r="K7" s="187" t="s">
        <v>96</v>
      </c>
      <c r="L7" s="187"/>
      <c r="M7" s="187"/>
    </row>
    <row r="8" spans="1:19" s="4" customFormat="1" ht="17.25" hidden="1" customHeight="1" x14ac:dyDescent="0.3">
      <c r="A8" s="8"/>
      <c r="F8" s="8"/>
      <c r="G8" s="12"/>
      <c r="I8" s="12"/>
      <c r="J8" s="40"/>
      <c r="K8" s="119"/>
      <c r="L8" s="86"/>
      <c r="M8" s="86"/>
    </row>
    <row r="9" spans="1:19" s="4" customFormat="1" ht="15.6" x14ac:dyDescent="0.3">
      <c r="A9" s="188" t="s">
        <v>108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8"/>
      <c r="N9" s="8"/>
      <c r="O9" s="8"/>
      <c r="P9" s="8"/>
      <c r="Q9" s="8"/>
      <c r="R9" s="8"/>
      <c r="S9" s="8"/>
    </row>
    <row r="10" spans="1:19" s="4" customFormat="1" ht="15.6" x14ac:dyDescent="0.3">
      <c r="A10" s="87"/>
      <c r="B10" s="87"/>
      <c r="C10" s="87"/>
      <c r="D10" s="87"/>
      <c r="E10" s="87"/>
      <c r="F10" s="87"/>
      <c r="G10" s="87"/>
      <c r="H10" s="87"/>
      <c r="I10" s="91"/>
      <c r="J10" s="87"/>
      <c r="K10" s="120"/>
      <c r="L10" s="87"/>
      <c r="M10" s="87"/>
      <c r="N10" s="8"/>
      <c r="O10" s="8"/>
      <c r="P10" s="8"/>
      <c r="Q10" s="8"/>
      <c r="R10" s="8"/>
      <c r="S10" s="8"/>
    </row>
    <row r="11" spans="1:19" ht="15.75" customHeight="1" x14ac:dyDescent="0.3">
      <c r="A11" s="172" t="s">
        <v>20</v>
      </c>
      <c r="B11" s="172" t="s">
        <v>0</v>
      </c>
      <c r="C11" s="172" t="s">
        <v>1</v>
      </c>
      <c r="D11" s="172" t="s">
        <v>21</v>
      </c>
      <c r="E11" s="172" t="s">
        <v>22</v>
      </c>
      <c r="F11" s="160" t="s">
        <v>2</v>
      </c>
      <c r="G11" s="160" t="s">
        <v>23</v>
      </c>
      <c r="H11" s="172" t="s">
        <v>27</v>
      </c>
      <c r="I11" s="160" t="s">
        <v>264</v>
      </c>
      <c r="J11" s="172" t="s">
        <v>3</v>
      </c>
      <c r="K11" s="172"/>
      <c r="L11" s="172"/>
      <c r="M11" s="172"/>
    </row>
    <row r="12" spans="1:19" ht="48" customHeight="1" x14ac:dyDescent="0.3">
      <c r="A12" s="172"/>
      <c r="B12" s="172"/>
      <c r="C12" s="172"/>
      <c r="D12" s="172"/>
      <c r="E12" s="172"/>
      <c r="F12" s="160"/>
      <c r="G12" s="160"/>
      <c r="H12" s="172"/>
      <c r="I12" s="160"/>
      <c r="J12" s="172" t="s">
        <v>28</v>
      </c>
      <c r="K12" s="160" t="s">
        <v>48</v>
      </c>
      <c r="L12" s="172" t="s">
        <v>4</v>
      </c>
      <c r="M12" s="172"/>
    </row>
    <row r="13" spans="1:19" ht="62.4" x14ac:dyDescent="0.3">
      <c r="A13" s="172"/>
      <c r="B13" s="172"/>
      <c r="C13" s="172"/>
      <c r="D13" s="39" t="s">
        <v>5</v>
      </c>
      <c r="E13" s="172"/>
      <c r="F13" s="160"/>
      <c r="G13" s="160"/>
      <c r="H13" s="172"/>
      <c r="I13" s="160"/>
      <c r="J13" s="172"/>
      <c r="K13" s="160"/>
      <c r="L13" s="18" t="s">
        <v>81</v>
      </c>
      <c r="M13" s="18" t="s">
        <v>110</v>
      </c>
    </row>
    <row r="14" spans="1:19" ht="15.6" x14ac:dyDescent="0.3">
      <c r="A14" s="39">
        <v>1</v>
      </c>
      <c r="B14" s="39">
        <v>2</v>
      </c>
      <c r="C14" s="39">
        <v>3</v>
      </c>
      <c r="D14" s="39">
        <v>4</v>
      </c>
      <c r="E14" s="39">
        <v>5</v>
      </c>
      <c r="F14" s="38">
        <v>6</v>
      </c>
      <c r="G14" s="92">
        <v>7</v>
      </c>
      <c r="H14" s="92">
        <v>8</v>
      </c>
      <c r="I14" s="92">
        <v>9</v>
      </c>
      <c r="J14" s="18">
        <v>10</v>
      </c>
      <c r="K14" s="115">
        <v>11</v>
      </c>
      <c r="L14" s="18">
        <v>12</v>
      </c>
      <c r="M14" s="18">
        <v>13</v>
      </c>
    </row>
    <row r="15" spans="1:19" ht="15.75" customHeight="1" x14ac:dyDescent="0.3">
      <c r="A15" s="184" t="s">
        <v>6</v>
      </c>
      <c r="B15" s="184"/>
      <c r="C15" s="184"/>
      <c r="D15" s="184"/>
      <c r="E15" s="184"/>
      <c r="F15" s="184"/>
      <c r="G15" s="184"/>
      <c r="H15" s="184"/>
      <c r="I15" s="184"/>
      <c r="J15" s="5" t="s">
        <v>7</v>
      </c>
      <c r="K15" s="3">
        <f>K16+K17</f>
        <v>4016894.67</v>
      </c>
      <c r="L15" s="3">
        <f t="shared" ref="L15:M15" si="0">L16+L17</f>
        <v>5041674.1499999994</v>
      </c>
      <c r="M15" s="3">
        <f t="shared" si="0"/>
        <v>4753700.66</v>
      </c>
      <c r="N15" s="148"/>
    </row>
    <row r="16" spans="1:19" ht="15.6" x14ac:dyDescent="0.3">
      <c r="A16" s="184"/>
      <c r="B16" s="184"/>
      <c r="C16" s="184"/>
      <c r="D16" s="184"/>
      <c r="E16" s="184"/>
      <c r="F16" s="184"/>
      <c r="G16" s="184"/>
      <c r="H16" s="184"/>
      <c r="I16" s="184"/>
      <c r="J16" s="5" t="s">
        <v>8</v>
      </c>
      <c r="K16" s="3">
        <f t="shared" ref="K16:M17" si="1">K19+K76+K89+K109+K228+K396</f>
        <v>2441797.7600000002</v>
      </c>
      <c r="L16" s="3">
        <f t="shared" si="1"/>
        <v>2696285.33</v>
      </c>
      <c r="M16" s="3">
        <f t="shared" si="1"/>
        <v>2965204.5700000003</v>
      </c>
    </row>
    <row r="17" spans="1:19" ht="15.6" x14ac:dyDescent="0.3">
      <c r="A17" s="184"/>
      <c r="B17" s="184"/>
      <c r="C17" s="184"/>
      <c r="D17" s="184"/>
      <c r="E17" s="184"/>
      <c r="F17" s="184"/>
      <c r="G17" s="184"/>
      <c r="H17" s="184"/>
      <c r="I17" s="184"/>
      <c r="J17" s="5" t="s">
        <v>9</v>
      </c>
      <c r="K17" s="3">
        <f t="shared" si="1"/>
        <v>1575096.9099999997</v>
      </c>
      <c r="L17" s="3">
        <f t="shared" si="1"/>
        <v>2345388.8199999994</v>
      </c>
      <c r="M17" s="3">
        <f t="shared" si="1"/>
        <v>1788496.0900000003</v>
      </c>
    </row>
    <row r="18" spans="1:19" s="2" customFormat="1" ht="15.6" x14ac:dyDescent="0.3">
      <c r="A18" s="189" t="s">
        <v>195</v>
      </c>
      <c r="B18" s="189"/>
      <c r="C18" s="189"/>
      <c r="D18" s="189"/>
      <c r="E18" s="189"/>
      <c r="F18" s="189"/>
      <c r="G18" s="189"/>
      <c r="H18" s="189"/>
      <c r="I18" s="189"/>
      <c r="J18" s="5" t="s">
        <v>7</v>
      </c>
      <c r="K18" s="3">
        <f>K19+K20</f>
        <v>780275.84</v>
      </c>
      <c r="L18" s="3">
        <f t="shared" ref="L18" si="2">L19+L20</f>
        <v>1964885.8399999999</v>
      </c>
      <c r="M18" s="3">
        <f>M19+M20</f>
        <v>2267900.58</v>
      </c>
      <c r="N18" s="6"/>
      <c r="O18" s="6"/>
      <c r="P18" s="6"/>
      <c r="Q18" s="6"/>
      <c r="R18" s="6"/>
      <c r="S18" s="6"/>
    </row>
    <row r="19" spans="1:19" s="2" customFormat="1" ht="15.6" x14ac:dyDescent="0.3">
      <c r="A19" s="189"/>
      <c r="B19" s="189"/>
      <c r="C19" s="189"/>
      <c r="D19" s="189"/>
      <c r="E19" s="189"/>
      <c r="F19" s="189"/>
      <c r="G19" s="189"/>
      <c r="H19" s="189"/>
      <c r="I19" s="189"/>
      <c r="J19" s="5" t="s">
        <v>8</v>
      </c>
      <c r="K19" s="3">
        <f>K22+K25+K28+K31+K36+K45+K49+K52+K56</f>
        <v>610335.34</v>
      </c>
      <c r="L19" s="3">
        <f t="shared" ref="L19:M19" si="3">L22+L25+L28+L31+L36+L45+L49+L52+L56</f>
        <v>1406724.0799999998</v>
      </c>
      <c r="M19" s="3">
        <f t="shared" si="3"/>
        <v>1278689.4300000002</v>
      </c>
      <c r="N19" s="147"/>
      <c r="O19" s="147"/>
      <c r="P19" s="147"/>
      <c r="Q19" s="6"/>
      <c r="R19" s="6"/>
      <c r="S19" s="6"/>
    </row>
    <row r="20" spans="1:19" s="2" customFormat="1" ht="15.6" x14ac:dyDescent="0.3">
      <c r="A20" s="189"/>
      <c r="B20" s="189"/>
      <c r="C20" s="189"/>
      <c r="D20" s="189"/>
      <c r="E20" s="189"/>
      <c r="F20" s="189"/>
      <c r="G20" s="189"/>
      <c r="H20" s="189"/>
      <c r="I20" s="189"/>
      <c r="J20" s="5" t="s">
        <v>9</v>
      </c>
      <c r="K20" s="3">
        <f>K23+K26+K29+K32+K34+K37+K39+K41+K46+K50+K53+K57+K43+K59+K61+K64+K66+K69+K71+K74</f>
        <v>169940.5</v>
      </c>
      <c r="L20" s="3">
        <f>L23+L26+L29+L32+L34+L37+L39+L41+L46+L50+L53+L57+L43+L59+L61+L64+L66+L69+L71+L74</f>
        <v>558161.76</v>
      </c>
      <c r="M20" s="3">
        <f t="shared" ref="M20" si="4">M23+M26+M29+M32+M34+M37+M39+M41+M46+M50+M53+M57+M43+M59+M61+M64+M66+M69+M71+M74</f>
        <v>989211.15</v>
      </c>
      <c r="N20" s="147"/>
      <c r="O20" s="147"/>
      <c r="P20" s="147"/>
      <c r="Q20" s="6"/>
      <c r="R20" s="6"/>
      <c r="S20" s="6"/>
    </row>
    <row r="21" spans="1:19" s="8" customFormat="1" ht="15.75" customHeight="1" x14ac:dyDescent="0.3">
      <c r="A21" s="172" t="s">
        <v>109</v>
      </c>
      <c r="B21" s="184" t="s">
        <v>35</v>
      </c>
      <c r="C21" s="172" t="s">
        <v>205</v>
      </c>
      <c r="D21" s="39" t="s">
        <v>24</v>
      </c>
      <c r="E21" s="172" t="s">
        <v>12</v>
      </c>
      <c r="F21" s="160" t="s">
        <v>11</v>
      </c>
      <c r="G21" s="160" t="s">
        <v>140</v>
      </c>
      <c r="H21" s="181">
        <f>I21+K21+L21+M21</f>
        <v>177095.63</v>
      </c>
      <c r="I21" s="161">
        <f>15702.62+10464.42</f>
        <v>26167.040000000001</v>
      </c>
      <c r="J21" s="25" t="s">
        <v>7</v>
      </c>
      <c r="K21" s="116">
        <f>K22+K23</f>
        <v>0</v>
      </c>
      <c r="L21" s="28">
        <f>L22+L23</f>
        <v>150618.29</v>
      </c>
      <c r="M21" s="28">
        <f>M22+M23</f>
        <v>310.30000000000291</v>
      </c>
    </row>
    <row r="22" spans="1:19" s="1" customFormat="1" ht="15.6" x14ac:dyDescent="0.3">
      <c r="A22" s="172"/>
      <c r="B22" s="184"/>
      <c r="C22" s="172"/>
      <c r="D22" s="172" t="s">
        <v>50</v>
      </c>
      <c r="E22" s="172"/>
      <c r="F22" s="160"/>
      <c r="G22" s="160"/>
      <c r="H22" s="181"/>
      <c r="I22" s="161"/>
      <c r="J22" s="29" t="s">
        <v>8</v>
      </c>
      <c r="K22" s="116">
        <v>0</v>
      </c>
      <c r="L22" s="76">
        <v>0</v>
      </c>
      <c r="M22" s="76">
        <v>0</v>
      </c>
    </row>
    <row r="23" spans="1:19" s="1" customFormat="1" ht="26.25" customHeight="1" x14ac:dyDescent="0.3">
      <c r="A23" s="172"/>
      <c r="B23" s="184"/>
      <c r="C23" s="172"/>
      <c r="D23" s="172"/>
      <c r="E23" s="172"/>
      <c r="F23" s="160"/>
      <c r="G23" s="160"/>
      <c r="H23" s="181"/>
      <c r="I23" s="161"/>
      <c r="J23" s="29" t="s">
        <v>9</v>
      </c>
      <c r="K23" s="116">
        <v>0</v>
      </c>
      <c r="L23" s="74">
        <v>150618.29</v>
      </c>
      <c r="M23" s="140">
        <f>126310.3-126000</f>
        <v>310.30000000000291</v>
      </c>
    </row>
    <row r="24" spans="1:19" s="8" customFormat="1" ht="15.75" customHeight="1" x14ac:dyDescent="0.3">
      <c r="A24" s="172" t="s">
        <v>29</v>
      </c>
      <c r="B24" s="184" t="s">
        <v>33</v>
      </c>
      <c r="C24" s="172" t="s">
        <v>206</v>
      </c>
      <c r="D24" s="39" t="s">
        <v>24</v>
      </c>
      <c r="E24" s="172" t="s">
        <v>12</v>
      </c>
      <c r="F24" s="160" t="s">
        <v>11</v>
      </c>
      <c r="G24" s="160" t="s">
        <v>140</v>
      </c>
      <c r="H24" s="181">
        <f>I24+K24+L24+M24</f>
        <v>75725.239999999991</v>
      </c>
      <c r="I24" s="161">
        <f>12900</f>
        <v>12900</v>
      </c>
      <c r="J24" s="25" t="s">
        <v>7</v>
      </c>
      <c r="K24" s="116">
        <f>K25+K26</f>
        <v>17.84</v>
      </c>
      <c r="L24" s="28">
        <f>L25+L26</f>
        <v>3942.079999999999</v>
      </c>
      <c r="M24" s="28">
        <f>M25+M26</f>
        <v>58865.32</v>
      </c>
    </row>
    <row r="25" spans="1:19" s="1" customFormat="1" ht="15.75" customHeight="1" x14ac:dyDescent="0.3">
      <c r="A25" s="172"/>
      <c r="B25" s="184"/>
      <c r="C25" s="172"/>
      <c r="D25" s="172" t="s">
        <v>50</v>
      </c>
      <c r="E25" s="172"/>
      <c r="F25" s="160"/>
      <c r="G25" s="160"/>
      <c r="H25" s="181"/>
      <c r="I25" s="161"/>
      <c r="J25" s="29" t="s">
        <v>8</v>
      </c>
      <c r="K25" s="116">
        <v>0</v>
      </c>
      <c r="L25" s="28">
        <v>0</v>
      </c>
      <c r="M25" s="28">
        <v>0</v>
      </c>
    </row>
    <row r="26" spans="1:19" s="1" customFormat="1" ht="34.5" customHeight="1" x14ac:dyDescent="0.3">
      <c r="A26" s="172"/>
      <c r="B26" s="184"/>
      <c r="C26" s="172"/>
      <c r="D26" s="172"/>
      <c r="E26" s="172"/>
      <c r="F26" s="160"/>
      <c r="G26" s="160"/>
      <c r="H26" s="181"/>
      <c r="I26" s="161"/>
      <c r="J26" s="29" t="s">
        <v>9</v>
      </c>
      <c r="K26" s="116">
        <v>17.84</v>
      </c>
      <c r="L26" s="142">
        <f>37589.6-31225.64-2421.88</f>
        <v>3942.079999999999</v>
      </c>
      <c r="M26" s="28">
        <v>58865.32</v>
      </c>
    </row>
    <row r="27" spans="1:19" s="1" customFormat="1" ht="15.75" customHeight="1" x14ac:dyDescent="0.3">
      <c r="A27" s="157" t="s">
        <v>30</v>
      </c>
      <c r="B27" s="173" t="s">
        <v>36</v>
      </c>
      <c r="C27" s="157" t="s">
        <v>207</v>
      </c>
      <c r="D27" s="56" t="s">
        <v>24</v>
      </c>
      <c r="E27" s="157" t="s">
        <v>12</v>
      </c>
      <c r="F27" s="163" t="s">
        <v>11</v>
      </c>
      <c r="G27" s="163" t="s">
        <v>140</v>
      </c>
      <c r="H27" s="190">
        <f>I27+K27+L27+M27</f>
        <v>14995.230000000007</v>
      </c>
      <c r="I27" s="169">
        <f>12150+1162.19</f>
        <v>13312.19</v>
      </c>
      <c r="J27" s="75" t="s">
        <v>7</v>
      </c>
      <c r="K27" s="117">
        <f>K28+K29</f>
        <v>1531.33</v>
      </c>
      <c r="L27" s="34">
        <f>L28+L29</f>
        <v>0</v>
      </c>
      <c r="M27" s="34">
        <f>M28+M29</f>
        <v>151.7100000000064</v>
      </c>
    </row>
    <row r="28" spans="1:19" s="1" customFormat="1" ht="15.75" customHeight="1" x14ac:dyDescent="0.3">
      <c r="A28" s="158"/>
      <c r="B28" s="186"/>
      <c r="C28" s="158"/>
      <c r="D28" s="172" t="s">
        <v>50</v>
      </c>
      <c r="E28" s="158"/>
      <c r="F28" s="165"/>
      <c r="G28" s="165"/>
      <c r="H28" s="191"/>
      <c r="I28" s="176"/>
      <c r="J28" s="29" t="s">
        <v>8</v>
      </c>
      <c r="K28" s="116">
        <v>0</v>
      </c>
      <c r="L28" s="28">
        <v>0</v>
      </c>
      <c r="M28" s="28">
        <v>0</v>
      </c>
    </row>
    <row r="29" spans="1:19" s="1" customFormat="1" ht="36" customHeight="1" x14ac:dyDescent="0.3">
      <c r="A29" s="159"/>
      <c r="B29" s="174"/>
      <c r="C29" s="159"/>
      <c r="D29" s="172"/>
      <c r="E29" s="159"/>
      <c r="F29" s="164"/>
      <c r="G29" s="164"/>
      <c r="H29" s="192"/>
      <c r="I29" s="170"/>
      <c r="J29" s="29" t="s">
        <v>9</v>
      </c>
      <c r="K29" s="116">
        <v>1531.33</v>
      </c>
      <c r="L29" s="28">
        <v>0</v>
      </c>
      <c r="M29" s="142">
        <f>99151.71-99000</f>
        <v>151.7100000000064</v>
      </c>
    </row>
    <row r="30" spans="1:19" s="8" customFormat="1" ht="15.75" customHeight="1" x14ac:dyDescent="0.3">
      <c r="A30" s="172" t="s">
        <v>31</v>
      </c>
      <c r="B30" s="184" t="s">
        <v>37</v>
      </c>
      <c r="C30" s="172" t="s">
        <v>208</v>
      </c>
      <c r="D30" s="39" t="s">
        <v>24</v>
      </c>
      <c r="E30" s="172" t="s">
        <v>12</v>
      </c>
      <c r="F30" s="160" t="s">
        <v>11</v>
      </c>
      <c r="G30" s="160" t="s">
        <v>140</v>
      </c>
      <c r="H30" s="181">
        <f>I30+K30+L30+M30</f>
        <v>29092.869999999995</v>
      </c>
      <c r="I30" s="161">
        <v>16786.189999999999</v>
      </c>
      <c r="J30" s="25" t="s">
        <v>7</v>
      </c>
      <c r="K30" s="116">
        <f>K31+K32</f>
        <v>10806.41</v>
      </c>
      <c r="L30" s="28">
        <f>L31+L32</f>
        <v>1377.9</v>
      </c>
      <c r="M30" s="28">
        <f>M31+M32</f>
        <v>122.36999999999534</v>
      </c>
    </row>
    <row r="31" spans="1:19" s="1" customFormat="1" ht="15.75" customHeight="1" x14ac:dyDescent="0.3">
      <c r="A31" s="172"/>
      <c r="B31" s="184"/>
      <c r="C31" s="172"/>
      <c r="D31" s="172" t="s">
        <v>50</v>
      </c>
      <c r="E31" s="172"/>
      <c r="F31" s="160"/>
      <c r="G31" s="160"/>
      <c r="H31" s="181"/>
      <c r="I31" s="161"/>
      <c r="J31" s="29" t="s">
        <v>8</v>
      </c>
      <c r="K31" s="116">
        <v>0</v>
      </c>
      <c r="L31" s="28">
        <v>0</v>
      </c>
      <c r="M31" s="28">
        <v>0</v>
      </c>
    </row>
    <row r="32" spans="1:19" s="1" customFormat="1" ht="31.5" customHeight="1" x14ac:dyDescent="0.3">
      <c r="A32" s="172"/>
      <c r="B32" s="184"/>
      <c r="C32" s="172"/>
      <c r="D32" s="172"/>
      <c r="E32" s="172"/>
      <c r="F32" s="160"/>
      <c r="G32" s="160"/>
      <c r="H32" s="181"/>
      <c r="I32" s="161"/>
      <c r="J32" s="29" t="s">
        <v>9</v>
      </c>
      <c r="K32" s="116">
        <v>10806.41</v>
      </c>
      <c r="L32" s="28">
        <v>1377.9</v>
      </c>
      <c r="M32" s="142">
        <f>207122.37-207000</f>
        <v>122.36999999999534</v>
      </c>
    </row>
    <row r="33" spans="1:13" s="8" customFormat="1" ht="15.75" customHeight="1" x14ac:dyDescent="0.3">
      <c r="A33" s="160" t="s">
        <v>32</v>
      </c>
      <c r="B33" s="171" t="s">
        <v>60</v>
      </c>
      <c r="C33" s="160" t="s">
        <v>209</v>
      </c>
      <c r="D33" s="160" t="s">
        <v>24</v>
      </c>
      <c r="E33" s="160" t="s">
        <v>12</v>
      </c>
      <c r="F33" s="160" t="s">
        <v>97</v>
      </c>
      <c r="G33" s="163" t="s">
        <v>185</v>
      </c>
      <c r="H33" s="161">
        <f>I33+K33+L33+M33</f>
        <v>23593.759999999998</v>
      </c>
      <c r="I33" s="161">
        <v>0</v>
      </c>
      <c r="J33" s="22" t="s">
        <v>7</v>
      </c>
      <c r="K33" s="116">
        <f>K34</f>
        <v>0</v>
      </c>
      <c r="L33" s="27">
        <f t="shared" ref="L33:M33" si="5">L34</f>
        <v>0</v>
      </c>
      <c r="M33" s="27">
        <f t="shared" si="5"/>
        <v>23593.759999999998</v>
      </c>
    </row>
    <row r="34" spans="1:13" s="8" customFormat="1" ht="35.25" customHeight="1" x14ac:dyDescent="0.3">
      <c r="A34" s="160"/>
      <c r="B34" s="171"/>
      <c r="C34" s="160"/>
      <c r="D34" s="160"/>
      <c r="E34" s="160"/>
      <c r="F34" s="160"/>
      <c r="G34" s="165"/>
      <c r="H34" s="160"/>
      <c r="I34" s="161"/>
      <c r="J34" s="30" t="s">
        <v>9</v>
      </c>
      <c r="K34" s="116">
        <v>0</v>
      </c>
      <c r="L34" s="27">
        <v>0</v>
      </c>
      <c r="M34" s="27">
        <v>23593.759999999998</v>
      </c>
    </row>
    <row r="35" spans="1:13" s="8" customFormat="1" ht="15.75" customHeight="1" x14ac:dyDescent="0.3">
      <c r="A35" s="160"/>
      <c r="B35" s="171"/>
      <c r="C35" s="160"/>
      <c r="D35" s="160" t="s">
        <v>50</v>
      </c>
      <c r="E35" s="160"/>
      <c r="F35" s="160" t="s">
        <v>11</v>
      </c>
      <c r="G35" s="165"/>
      <c r="H35" s="161">
        <f>I35+K35+L35+M35</f>
        <v>74653.56</v>
      </c>
      <c r="I35" s="161">
        <v>0</v>
      </c>
      <c r="J35" s="30" t="s">
        <v>7</v>
      </c>
      <c r="K35" s="116">
        <f>K36+K37</f>
        <v>0</v>
      </c>
      <c r="L35" s="27">
        <f t="shared" ref="L35:M35" si="6">L36+L37</f>
        <v>0</v>
      </c>
      <c r="M35" s="27">
        <f t="shared" si="6"/>
        <v>74653.56</v>
      </c>
    </row>
    <row r="36" spans="1:13" s="8" customFormat="1" ht="15.6" x14ac:dyDescent="0.3">
      <c r="A36" s="160"/>
      <c r="B36" s="171"/>
      <c r="C36" s="160"/>
      <c r="D36" s="160"/>
      <c r="E36" s="160"/>
      <c r="F36" s="160"/>
      <c r="G36" s="165"/>
      <c r="H36" s="160"/>
      <c r="I36" s="161"/>
      <c r="J36" s="30" t="s">
        <v>8</v>
      </c>
      <c r="K36" s="116">
        <v>0</v>
      </c>
      <c r="L36" s="27">
        <v>0</v>
      </c>
      <c r="M36" s="27">
        <v>0</v>
      </c>
    </row>
    <row r="37" spans="1:13" s="8" customFormat="1" ht="15.6" x14ac:dyDescent="0.3">
      <c r="A37" s="160"/>
      <c r="B37" s="171"/>
      <c r="C37" s="160"/>
      <c r="D37" s="160"/>
      <c r="E37" s="160"/>
      <c r="F37" s="160"/>
      <c r="G37" s="164"/>
      <c r="H37" s="160"/>
      <c r="I37" s="161"/>
      <c r="J37" s="30" t="s">
        <v>9</v>
      </c>
      <c r="K37" s="116">
        <v>0</v>
      </c>
      <c r="L37" s="27">
        <v>0</v>
      </c>
      <c r="M37" s="27">
        <f>25103.74+49549.82</f>
        <v>74653.56</v>
      </c>
    </row>
    <row r="38" spans="1:13" s="8" customFormat="1" ht="15.75" customHeight="1" x14ac:dyDescent="0.3">
      <c r="A38" s="160" t="s">
        <v>117</v>
      </c>
      <c r="B38" s="171" t="s">
        <v>182</v>
      </c>
      <c r="C38" s="160" t="s">
        <v>210</v>
      </c>
      <c r="D38" s="160" t="s">
        <v>24</v>
      </c>
      <c r="E38" s="160" t="s">
        <v>12</v>
      </c>
      <c r="F38" s="160" t="s">
        <v>46</v>
      </c>
      <c r="G38" s="163" t="s">
        <v>85</v>
      </c>
      <c r="H38" s="161">
        <f>I38+K38+L38+M38</f>
        <v>4950.9799999999996</v>
      </c>
      <c r="I38" s="161">
        <v>0</v>
      </c>
      <c r="J38" s="70" t="s">
        <v>7</v>
      </c>
      <c r="K38" s="116">
        <f>K39</f>
        <v>4950.9799999999996</v>
      </c>
      <c r="L38" s="71">
        <f t="shared" ref="L38:M38" si="7">L39</f>
        <v>0</v>
      </c>
      <c r="M38" s="71">
        <f t="shared" si="7"/>
        <v>0</v>
      </c>
    </row>
    <row r="39" spans="1:13" s="8" customFormat="1" ht="46.5" customHeight="1" x14ac:dyDescent="0.3">
      <c r="A39" s="160"/>
      <c r="B39" s="171"/>
      <c r="C39" s="160"/>
      <c r="D39" s="160"/>
      <c r="E39" s="160"/>
      <c r="F39" s="160"/>
      <c r="G39" s="165"/>
      <c r="H39" s="160"/>
      <c r="I39" s="161"/>
      <c r="J39" s="72" t="s">
        <v>9</v>
      </c>
      <c r="K39" s="116">
        <v>4950.9799999999996</v>
      </c>
      <c r="L39" s="71">
        <v>0</v>
      </c>
      <c r="M39" s="71">
        <v>0</v>
      </c>
    </row>
    <row r="40" spans="1:13" s="8" customFormat="1" ht="15.75" customHeight="1" x14ac:dyDescent="0.3">
      <c r="A40" s="160"/>
      <c r="B40" s="171"/>
      <c r="C40" s="160"/>
      <c r="D40" s="160" t="s">
        <v>50</v>
      </c>
      <c r="E40" s="160"/>
      <c r="F40" s="160" t="s">
        <v>11</v>
      </c>
      <c r="G40" s="165"/>
      <c r="H40" s="161">
        <f>I40+K40+L40+M40</f>
        <v>17967.89</v>
      </c>
      <c r="I40" s="161">
        <v>0</v>
      </c>
      <c r="J40" s="72" t="s">
        <v>7</v>
      </c>
      <c r="K40" s="116">
        <f>K41</f>
        <v>5797.96</v>
      </c>
      <c r="L40" s="83">
        <f t="shared" ref="L40:M40" si="8">L41</f>
        <v>12169.93</v>
      </c>
      <c r="M40" s="83">
        <f t="shared" si="8"/>
        <v>0</v>
      </c>
    </row>
    <row r="41" spans="1:13" s="8" customFormat="1" ht="15.6" x14ac:dyDescent="0.3">
      <c r="A41" s="160"/>
      <c r="B41" s="171"/>
      <c r="C41" s="160"/>
      <c r="D41" s="160"/>
      <c r="E41" s="160"/>
      <c r="F41" s="160"/>
      <c r="G41" s="164"/>
      <c r="H41" s="160"/>
      <c r="I41" s="161"/>
      <c r="J41" s="72" t="s">
        <v>9</v>
      </c>
      <c r="K41" s="116">
        <v>5797.96</v>
      </c>
      <c r="L41" s="71">
        <v>12169.93</v>
      </c>
      <c r="M41" s="71">
        <v>0</v>
      </c>
    </row>
    <row r="42" spans="1:13" s="8" customFormat="1" ht="17.399999999999999" customHeight="1" x14ac:dyDescent="0.3">
      <c r="A42" s="157" t="s">
        <v>145</v>
      </c>
      <c r="B42" s="173" t="s">
        <v>143</v>
      </c>
      <c r="C42" s="157" t="s">
        <v>291</v>
      </c>
      <c r="D42" s="157" t="s">
        <v>24</v>
      </c>
      <c r="E42" s="163" t="s">
        <v>12</v>
      </c>
      <c r="F42" s="163" t="s">
        <v>282</v>
      </c>
      <c r="G42" s="163" t="s">
        <v>16</v>
      </c>
      <c r="H42" s="169">
        <f>I42+K42+L42+M42</f>
        <v>930</v>
      </c>
      <c r="I42" s="193">
        <v>430</v>
      </c>
      <c r="J42" s="105" t="s">
        <v>7</v>
      </c>
      <c r="K42" s="116">
        <f>K43</f>
        <v>500</v>
      </c>
      <c r="L42" s="104">
        <f t="shared" ref="L42:M42" si="9">L43</f>
        <v>0</v>
      </c>
      <c r="M42" s="104">
        <f t="shared" si="9"/>
        <v>0</v>
      </c>
    </row>
    <row r="43" spans="1:13" s="8" customFormat="1" ht="31.2" customHeight="1" x14ac:dyDescent="0.3">
      <c r="A43" s="158"/>
      <c r="B43" s="186"/>
      <c r="C43" s="158"/>
      <c r="D43" s="159"/>
      <c r="E43" s="165"/>
      <c r="F43" s="164"/>
      <c r="G43" s="165"/>
      <c r="H43" s="164"/>
      <c r="I43" s="194"/>
      <c r="J43" s="105" t="s">
        <v>9</v>
      </c>
      <c r="K43" s="116">
        <v>500</v>
      </c>
      <c r="L43" s="104">
        <v>0</v>
      </c>
      <c r="M43" s="104">
        <v>0</v>
      </c>
    </row>
    <row r="44" spans="1:13" s="1" customFormat="1" ht="15.75" customHeight="1" x14ac:dyDescent="0.3">
      <c r="A44" s="158"/>
      <c r="B44" s="186"/>
      <c r="C44" s="158"/>
      <c r="D44" s="158" t="s">
        <v>50</v>
      </c>
      <c r="E44" s="165"/>
      <c r="F44" s="160" t="s">
        <v>11</v>
      </c>
      <c r="G44" s="165"/>
      <c r="H44" s="181">
        <f>K44+L44+M44+I44</f>
        <v>2392102.6</v>
      </c>
      <c r="I44" s="161">
        <f>14451.32+240618.54+2117327.16</f>
        <v>2372397.02</v>
      </c>
      <c r="J44" s="29" t="s">
        <v>7</v>
      </c>
      <c r="K44" s="116">
        <f>K46+K45</f>
        <v>19705.579999999998</v>
      </c>
      <c r="L44" s="55">
        <f>L46+L45</f>
        <v>0</v>
      </c>
      <c r="M44" s="55">
        <f>M46+M45</f>
        <v>0</v>
      </c>
    </row>
    <row r="45" spans="1:13" s="1" customFormat="1" ht="15" customHeight="1" x14ac:dyDescent="0.3">
      <c r="A45" s="158"/>
      <c r="B45" s="186"/>
      <c r="C45" s="158"/>
      <c r="D45" s="158"/>
      <c r="E45" s="165"/>
      <c r="F45" s="160"/>
      <c r="G45" s="165"/>
      <c r="H45" s="181"/>
      <c r="I45" s="161"/>
      <c r="J45" s="29" t="s">
        <v>8</v>
      </c>
      <c r="K45" s="116">
        <v>14889.71</v>
      </c>
      <c r="L45" s="55">
        <v>0</v>
      </c>
      <c r="M45" s="55">
        <v>0</v>
      </c>
    </row>
    <row r="46" spans="1:13" s="1" customFormat="1" ht="15.6" x14ac:dyDescent="0.3">
      <c r="A46" s="159"/>
      <c r="B46" s="174"/>
      <c r="C46" s="159"/>
      <c r="D46" s="159"/>
      <c r="E46" s="164"/>
      <c r="F46" s="160"/>
      <c r="G46" s="164"/>
      <c r="H46" s="181"/>
      <c r="I46" s="161"/>
      <c r="J46" s="29" t="s">
        <v>9</v>
      </c>
      <c r="K46" s="116">
        <v>4815.87</v>
      </c>
      <c r="L46" s="55">
        <v>0</v>
      </c>
      <c r="M46" s="55">
        <v>0</v>
      </c>
    </row>
    <row r="47" spans="1:13" s="1" customFormat="1" ht="32.25" customHeight="1" x14ac:dyDescent="0.3">
      <c r="A47" s="157" t="s">
        <v>146</v>
      </c>
      <c r="B47" s="166" t="s">
        <v>144</v>
      </c>
      <c r="C47" s="163" t="s">
        <v>263</v>
      </c>
      <c r="D47" s="157" t="s">
        <v>24</v>
      </c>
      <c r="E47" s="157" t="s">
        <v>12</v>
      </c>
      <c r="F47" s="163" t="s">
        <v>11</v>
      </c>
      <c r="G47" s="163" t="s">
        <v>272</v>
      </c>
      <c r="H47" s="190">
        <f>I47+K47+L47+M47</f>
        <v>1132851.82</v>
      </c>
      <c r="I47" s="169">
        <f>231.79+9524.45+132825.44+982017.27+400</f>
        <v>1124998.95</v>
      </c>
      <c r="J47" s="173" t="s">
        <v>7</v>
      </c>
      <c r="K47" s="177">
        <f>K50+K49</f>
        <v>7852.87</v>
      </c>
      <c r="L47" s="179">
        <f>L50+L49</f>
        <v>0</v>
      </c>
      <c r="M47" s="179">
        <f>M50+M49</f>
        <v>0</v>
      </c>
    </row>
    <row r="48" spans="1:13" s="8" customFormat="1" ht="15.75" customHeight="1" x14ac:dyDescent="0.3">
      <c r="A48" s="158"/>
      <c r="B48" s="167"/>
      <c r="C48" s="165"/>
      <c r="D48" s="159"/>
      <c r="E48" s="158"/>
      <c r="F48" s="165"/>
      <c r="G48" s="165"/>
      <c r="H48" s="191"/>
      <c r="I48" s="176"/>
      <c r="J48" s="174"/>
      <c r="K48" s="178"/>
      <c r="L48" s="180"/>
      <c r="M48" s="180"/>
    </row>
    <row r="49" spans="1:14" s="1" customFormat="1" ht="15.75" customHeight="1" x14ac:dyDescent="0.3">
      <c r="A49" s="158"/>
      <c r="B49" s="167"/>
      <c r="C49" s="165"/>
      <c r="D49" s="172" t="s">
        <v>50</v>
      </c>
      <c r="E49" s="158"/>
      <c r="F49" s="165"/>
      <c r="G49" s="165"/>
      <c r="H49" s="191"/>
      <c r="I49" s="176"/>
      <c r="J49" s="29" t="s">
        <v>8</v>
      </c>
      <c r="K49" s="116">
        <v>7320.55</v>
      </c>
      <c r="L49" s="55">
        <v>0</v>
      </c>
      <c r="M49" s="55">
        <v>0</v>
      </c>
    </row>
    <row r="50" spans="1:14" s="1" customFormat="1" ht="15.6" x14ac:dyDescent="0.3">
      <c r="A50" s="159"/>
      <c r="B50" s="168"/>
      <c r="C50" s="164"/>
      <c r="D50" s="172"/>
      <c r="E50" s="159"/>
      <c r="F50" s="164"/>
      <c r="G50" s="164"/>
      <c r="H50" s="192"/>
      <c r="I50" s="170"/>
      <c r="J50" s="29" t="s">
        <v>9</v>
      </c>
      <c r="K50" s="116">
        <v>532.32000000000005</v>
      </c>
      <c r="L50" s="76">
        <v>0</v>
      </c>
      <c r="M50" s="55">
        <v>0</v>
      </c>
    </row>
    <row r="51" spans="1:14" s="8" customFormat="1" ht="15.75" customHeight="1" x14ac:dyDescent="0.3">
      <c r="A51" s="160" t="s">
        <v>204</v>
      </c>
      <c r="B51" s="171" t="s">
        <v>75</v>
      </c>
      <c r="C51" s="160" t="s">
        <v>341</v>
      </c>
      <c r="D51" s="58" t="s">
        <v>24</v>
      </c>
      <c r="E51" s="160" t="s">
        <v>12</v>
      </c>
      <c r="F51" s="163" t="s">
        <v>11</v>
      </c>
      <c r="G51" s="163" t="s">
        <v>112</v>
      </c>
      <c r="H51" s="169">
        <f>I51+K51+L51+M51</f>
        <v>4473441.9000000004</v>
      </c>
      <c r="I51" s="169">
        <f>11917.54+14896.98</f>
        <v>26814.52</v>
      </c>
      <c r="J51" s="57" t="s">
        <v>7</v>
      </c>
      <c r="K51" s="117">
        <f>K52+K53</f>
        <v>721521.05999999994</v>
      </c>
      <c r="L51" s="79">
        <f>L52+L53</f>
        <v>1725392.2599999998</v>
      </c>
      <c r="M51" s="79">
        <f>M52+M53</f>
        <v>1999714.06</v>
      </c>
    </row>
    <row r="52" spans="1:14" s="8" customFormat="1" ht="15.6" x14ac:dyDescent="0.3">
      <c r="A52" s="160"/>
      <c r="B52" s="171"/>
      <c r="C52" s="160"/>
      <c r="D52" s="160" t="s">
        <v>50</v>
      </c>
      <c r="E52" s="160"/>
      <c r="F52" s="165"/>
      <c r="G52" s="165"/>
      <c r="H52" s="176"/>
      <c r="I52" s="176"/>
      <c r="J52" s="30" t="s">
        <v>8</v>
      </c>
      <c r="K52" s="116">
        <f>454729.1+133395.98</f>
        <v>588125.07999999996</v>
      </c>
      <c r="L52" s="78">
        <f>1088055.9+318668.18</f>
        <v>1406724.0799999998</v>
      </c>
      <c r="M52" s="78">
        <f>989664.8+289024.63</f>
        <v>1278689.4300000002</v>
      </c>
    </row>
    <row r="53" spans="1:14" s="8" customFormat="1" ht="15.6" x14ac:dyDescent="0.3">
      <c r="A53" s="160"/>
      <c r="B53" s="171"/>
      <c r="C53" s="160"/>
      <c r="D53" s="160"/>
      <c r="E53" s="160"/>
      <c r="F53" s="164"/>
      <c r="G53" s="164"/>
      <c r="H53" s="170"/>
      <c r="I53" s="170"/>
      <c r="J53" s="30" t="s">
        <v>9</v>
      </c>
      <c r="K53" s="116">
        <v>133395.98000000001</v>
      </c>
      <c r="L53" s="78">
        <v>318668.18</v>
      </c>
      <c r="M53" s="142">
        <f>289024.63+432000</f>
        <v>721024.63</v>
      </c>
    </row>
    <row r="54" spans="1:14" s="1" customFormat="1" ht="22.5" customHeight="1" x14ac:dyDescent="0.3">
      <c r="A54" s="157" t="s">
        <v>196</v>
      </c>
      <c r="B54" s="166" t="s">
        <v>38</v>
      </c>
      <c r="C54" s="163" t="s">
        <v>325</v>
      </c>
      <c r="D54" s="141" t="s">
        <v>24</v>
      </c>
      <c r="E54" s="163" t="s">
        <v>12</v>
      </c>
      <c r="F54" s="163" t="s">
        <v>11</v>
      </c>
      <c r="G54" s="163" t="s">
        <v>140</v>
      </c>
      <c r="H54" s="190">
        <f>I54+K54+L54+M54</f>
        <v>109348.6</v>
      </c>
      <c r="I54" s="169">
        <f>5289+2751</f>
        <v>8040</v>
      </c>
      <c r="J54" s="173" t="s">
        <v>7</v>
      </c>
      <c r="K54" s="177">
        <f>K57</f>
        <v>0</v>
      </c>
      <c r="L54" s="179">
        <f>L57</f>
        <v>0</v>
      </c>
      <c r="M54" s="179">
        <f>M57</f>
        <v>101308.6</v>
      </c>
    </row>
    <row r="55" spans="1:14" s="1" customFormat="1" ht="15" customHeight="1" x14ac:dyDescent="0.3">
      <c r="A55" s="158"/>
      <c r="B55" s="167"/>
      <c r="C55" s="165"/>
      <c r="D55" s="160" t="s">
        <v>50</v>
      </c>
      <c r="E55" s="165"/>
      <c r="F55" s="165"/>
      <c r="G55" s="165"/>
      <c r="H55" s="191"/>
      <c r="I55" s="176"/>
      <c r="J55" s="174"/>
      <c r="K55" s="178"/>
      <c r="L55" s="180"/>
      <c r="M55" s="180"/>
    </row>
    <row r="56" spans="1:14" s="1" customFormat="1" ht="15.6" x14ac:dyDescent="0.3">
      <c r="A56" s="158"/>
      <c r="B56" s="167"/>
      <c r="C56" s="165"/>
      <c r="D56" s="160"/>
      <c r="E56" s="165"/>
      <c r="F56" s="165"/>
      <c r="G56" s="165"/>
      <c r="H56" s="191"/>
      <c r="I56" s="176"/>
      <c r="J56" s="25" t="s">
        <v>8</v>
      </c>
      <c r="K56" s="116">
        <v>0</v>
      </c>
      <c r="L56" s="76">
        <v>0</v>
      </c>
      <c r="M56" s="76">
        <v>0</v>
      </c>
    </row>
    <row r="57" spans="1:14" s="1" customFormat="1" ht="21.75" customHeight="1" x14ac:dyDescent="0.3">
      <c r="A57" s="159"/>
      <c r="B57" s="168"/>
      <c r="C57" s="164"/>
      <c r="D57" s="160"/>
      <c r="E57" s="164"/>
      <c r="F57" s="164"/>
      <c r="G57" s="164"/>
      <c r="H57" s="192"/>
      <c r="I57" s="170"/>
      <c r="J57" s="29" t="s">
        <v>9</v>
      </c>
      <c r="K57" s="116">
        <v>0</v>
      </c>
      <c r="L57" s="28">
        <v>0</v>
      </c>
      <c r="M57" s="28">
        <v>101308.6</v>
      </c>
    </row>
    <row r="58" spans="1:14" s="1" customFormat="1" ht="15.75" customHeight="1" x14ac:dyDescent="0.3">
      <c r="A58" s="172" t="s">
        <v>197</v>
      </c>
      <c r="B58" s="171" t="s">
        <v>344</v>
      </c>
      <c r="C58" s="160" t="s">
        <v>346</v>
      </c>
      <c r="D58" s="138" t="s">
        <v>24</v>
      </c>
      <c r="E58" s="172" t="s">
        <v>12</v>
      </c>
      <c r="F58" s="172" t="s">
        <v>11</v>
      </c>
      <c r="G58" s="172" t="s">
        <v>115</v>
      </c>
      <c r="H58" s="181">
        <f>I58+K58+L58+M58</f>
        <v>27223.67</v>
      </c>
      <c r="I58" s="181">
        <f>20766.53+637.82</f>
        <v>21404.35</v>
      </c>
      <c r="J58" s="139" t="s">
        <v>7</v>
      </c>
      <c r="K58" s="55">
        <f>K59</f>
        <v>0</v>
      </c>
      <c r="L58" s="55">
        <f>L59</f>
        <v>5819.32</v>
      </c>
      <c r="M58" s="55">
        <f>M59</f>
        <v>0</v>
      </c>
    </row>
    <row r="59" spans="1:14" s="1" customFormat="1" ht="61.5" customHeight="1" x14ac:dyDescent="0.3">
      <c r="A59" s="172"/>
      <c r="B59" s="171"/>
      <c r="C59" s="160"/>
      <c r="D59" s="138" t="s">
        <v>345</v>
      </c>
      <c r="E59" s="172"/>
      <c r="F59" s="172"/>
      <c r="G59" s="172"/>
      <c r="H59" s="181"/>
      <c r="I59" s="181"/>
      <c r="J59" s="29" t="s">
        <v>9</v>
      </c>
      <c r="K59" s="55">
        <v>0</v>
      </c>
      <c r="L59" s="146">
        <v>5819.32</v>
      </c>
      <c r="M59" s="55">
        <v>0</v>
      </c>
    </row>
    <row r="60" spans="1:14" s="1" customFormat="1" ht="15.75" customHeight="1" x14ac:dyDescent="0.3">
      <c r="A60" s="163" t="s">
        <v>198</v>
      </c>
      <c r="B60" s="166" t="s">
        <v>361</v>
      </c>
      <c r="C60" s="163" t="s">
        <v>384</v>
      </c>
      <c r="D60" s="157" t="s">
        <v>24</v>
      </c>
      <c r="E60" s="157" t="s">
        <v>12</v>
      </c>
      <c r="F60" s="160" t="s">
        <v>97</v>
      </c>
      <c r="G60" s="163" t="s">
        <v>85</v>
      </c>
      <c r="H60" s="181">
        <f>I60+K60+L60+M60</f>
        <v>4533.0200000000004</v>
      </c>
      <c r="I60" s="156">
        <v>0</v>
      </c>
      <c r="J60" s="145" t="s">
        <v>7</v>
      </c>
      <c r="K60" s="146">
        <f>K61</f>
        <v>4533.0200000000004</v>
      </c>
      <c r="L60" s="55">
        <f>L61</f>
        <v>0</v>
      </c>
      <c r="M60" s="55">
        <f>M61</f>
        <v>0</v>
      </c>
    </row>
    <row r="61" spans="1:14" s="1" customFormat="1" ht="32.25" customHeight="1" x14ac:dyDescent="0.3">
      <c r="A61" s="165"/>
      <c r="B61" s="167"/>
      <c r="C61" s="165"/>
      <c r="D61" s="159"/>
      <c r="E61" s="158"/>
      <c r="F61" s="160"/>
      <c r="G61" s="165"/>
      <c r="H61" s="181"/>
      <c r="I61" s="156"/>
      <c r="J61" s="29" t="s">
        <v>9</v>
      </c>
      <c r="K61" s="146">
        <v>4533.0200000000004</v>
      </c>
      <c r="L61" s="55">
        <v>0</v>
      </c>
      <c r="M61" s="55">
        <v>0</v>
      </c>
      <c r="N61" s="13"/>
    </row>
    <row r="62" spans="1:14" s="1" customFormat="1" ht="15.75" customHeight="1" x14ac:dyDescent="0.3">
      <c r="A62" s="165"/>
      <c r="B62" s="167"/>
      <c r="C62" s="165"/>
      <c r="D62" s="157" t="s">
        <v>50</v>
      </c>
      <c r="E62" s="158"/>
      <c r="F62" s="160" t="s">
        <v>11</v>
      </c>
      <c r="G62" s="165"/>
      <c r="H62" s="181">
        <f>I62+K62+L62+M62</f>
        <v>15037.16</v>
      </c>
      <c r="I62" s="156">
        <v>0</v>
      </c>
      <c r="J62" s="145" t="s">
        <v>7</v>
      </c>
      <c r="K62" s="146">
        <f>K64</f>
        <v>0</v>
      </c>
      <c r="L62" s="55">
        <f>L64</f>
        <v>15037.16</v>
      </c>
      <c r="M62" s="55">
        <f>M64</f>
        <v>0</v>
      </c>
    </row>
    <row r="63" spans="1:14" s="1" customFormat="1" ht="15.75" customHeight="1" x14ac:dyDescent="0.3">
      <c r="A63" s="165"/>
      <c r="B63" s="167"/>
      <c r="C63" s="165"/>
      <c r="D63" s="158"/>
      <c r="E63" s="158"/>
      <c r="F63" s="160"/>
      <c r="G63" s="165"/>
      <c r="H63" s="181"/>
      <c r="I63" s="156"/>
      <c r="J63" s="145" t="s">
        <v>8</v>
      </c>
      <c r="K63" s="146">
        <v>0</v>
      </c>
      <c r="L63" s="55">
        <v>0</v>
      </c>
      <c r="M63" s="55">
        <v>0</v>
      </c>
    </row>
    <row r="64" spans="1:14" s="1" customFormat="1" ht="15.6" x14ac:dyDescent="0.3">
      <c r="A64" s="164"/>
      <c r="B64" s="168"/>
      <c r="C64" s="164"/>
      <c r="D64" s="159"/>
      <c r="E64" s="159"/>
      <c r="F64" s="160"/>
      <c r="G64" s="164"/>
      <c r="H64" s="181"/>
      <c r="I64" s="156"/>
      <c r="J64" s="29" t="s">
        <v>9</v>
      </c>
      <c r="K64" s="146">
        <v>0</v>
      </c>
      <c r="L64" s="55">
        <v>15037.16</v>
      </c>
      <c r="M64" s="55"/>
    </row>
    <row r="65" spans="1:14" s="1" customFormat="1" ht="15.75" customHeight="1" x14ac:dyDescent="0.3">
      <c r="A65" s="163" t="s">
        <v>199</v>
      </c>
      <c r="B65" s="166" t="s">
        <v>362</v>
      </c>
      <c r="C65" s="163" t="s">
        <v>363</v>
      </c>
      <c r="D65" s="157" t="s">
        <v>24</v>
      </c>
      <c r="E65" s="157" t="s">
        <v>12</v>
      </c>
      <c r="F65" s="160" t="s">
        <v>97</v>
      </c>
      <c r="G65" s="163" t="s">
        <v>85</v>
      </c>
      <c r="H65" s="181">
        <f>I65+K65+L65+M65</f>
        <v>3153.55</v>
      </c>
      <c r="I65" s="156">
        <v>0</v>
      </c>
      <c r="J65" s="145" t="s">
        <v>7</v>
      </c>
      <c r="K65" s="146">
        <f>K66</f>
        <v>0</v>
      </c>
      <c r="L65" s="55">
        <f>L66</f>
        <v>3153.55</v>
      </c>
      <c r="M65" s="55">
        <f>M66</f>
        <v>0</v>
      </c>
    </row>
    <row r="66" spans="1:14" s="1" customFormat="1" ht="32.25" customHeight="1" x14ac:dyDescent="0.3">
      <c r="A66" s="165"/>
      <c r="B66" s="167"/>
      <c r="C66" s="165"/>
      <c r="D66" s="159"/>
      <c r="E66" s="158"/>
      <c r="F66" s="160"/>
      <c r="G66" s="165"/>
      <c r="H66" s="181"/>
      <c r="I66" s="156"/>
      <c r="J66" s="29" t="s">
        <v>9</v>
      </c>
      <c r="K66" s="146">
        <v>0</v>
      </c>
      <c r="L66" s="55">
        <v>3153.55</v>
      </c>
      <c r="M66" s="55">
        <v>0</v>
      </c>
    </row>
    <row r="67" spans="1:14" s="1" customFormat="1" ht="15.75" customHeight="1" x14ac:dyDescent="0.3">
      <c r="A67" s="165"/>
      <c r="B67" s="167"/>
      <c r="C67" s="165"/>
      <c r="D67" s="157" t="s">
        <v>50</v>
      </c>
      <c r="E67" s="158"/>
      <c r="F67" s="160" t="s">
        <v>11</v>
      </c>
      <c r="G67" s="165"/>
      <c r="H67" s="181">
        <f>I67+K67+L67+M67</f>
        <v>11426.14</v>
      </c>
      <c r="I67" s="156">
        <v>0</v>
      </c>
      <c r="J67" s="145" t="s">
        <v>7</v>
      </c>
      <c r="K67" s="146">
        <f>K69</f>
        <v>2458.79</v>
      </c>
      <c r="L67" s="55">
        <f>L69</f>
        <v>8967.35</v>
      </c>
      <c r="M67" s="55">
        <f>M69</f>
        <v>0</v>
      </c>
    </row>
    <row r="68" spans="1:14" s="1" customFormat="1" ht="15.75" customHeight="1" x14ac:dyDescent="0.3">
      <c r="A68" s="165"/>
      <c r="B68" s="167"/>
      <c r="C68" s="165"/>
      <c r="D68" s="158"/>
      <c r="E68" s="158"/>
      <c r="F68" s="160"/>
      <c r="G68" s="165"/>
      <c r="H68" s="181"/>
      <c r="I68" s="156"/>
      <c r="J68" s="145" t="s">
        <v>8</v>
      </c>
      <c r="K68" s="146">
        <v>0</v>
      </c>
      <c r="L68" s="55">
        <v>0</v>
      </c>
      <c r="M68" s="55">
        <v>0</v>
      </c>
    </row>
    <row r="69" spans="1:14" s="1" customFormat="1" ht="15.6" x14ac:dyDescent="0.3">
      <c r="A69" s="164"/>
      <c r="B69" s="168"/>
      <c r="C69" s="164"/>
      <c r="D69" s="159"/>
      <c r="E69" s="159"/>
      <c r="F69" s="160"/>
      <c r="G69" s="164"/>
      <c r="H69" s="181"/>
      <c r="I69" s="156"/>
      <c r="J69" s="29" t="s">
        <v>9</v>
      </c>
      <c r="K69" s="146">
        <v>2458.79</v>
      </c>
      <c r="L69" s="55">
        <v>8967.35</v>
      </c>
      <c r="M69" s="55"/>
    </row>
    <row r="70" spans="1:14" s="1" customFormat="1" ht="15.75" customHeight="1" x14ac:dyDescent="0.3">
      <c r="A70" s="163" t="s">
        <v>364</v>
      </c>
      <c r="B70" s="166" t="s">
        <v>91</v>
      </c>
      <c r="C70" s="163" t="s">
        <v>214</v>
      </c>
      <c r="D70" s="157" t="s">
        <v>24</v>
      </c>
      <c r="E70" s="157" t="s">
        <v>12</v>
      </c>
      <c r="F70" s="160" t="s">
        <v>97</v>
      </c>
      <c r="G70" s="163" t="s">
        <v>275</v>
      </c>
      <c r="H70" s="181">
        <f>I70+K70+L70+M70</f>
        <v>13155.82</v>
      </c>
      <c r="I70" s="156">
        <v>0</v>
      </c>
      <c r="J70" s="62" t="s">
        <v>7</v>
      </c>
      <c r="K70" s="116">
        <f>K71</f>
        <v>600</v>
      </c>
      <c r="L70" s="55">
        <f>L71</f>
        <v>12555.82</v>
      </c>
      <c r="M70" s="55">
        <f>M71</f>
        <v>0</v>
      </c>
    </row>
    <row r="71" spans="1:14" s="1" customFormat="1" ht="32.25" customHeight="1" x14ac:dyDescent="0.3">
      <c r="A71" s="165"/>
      <c r="B71" s="167"/>
      <c r="C71" s="165"/>
      <c r="D71" s="159"/>
      <c r="E71" s="158"/>
      <c r="F71" s="160"/>
      <c r="G71" s="165"/>
      <c r="H71" s="181"/>
      <c r="I71" s="156"/>
      <c r="J71" s="29" t="s">
        <v>9</v>
      </c>
      <c r="K71" s="116">
        <v>600</v>
      </c>
      <c r="L71" s="55">
        <f>13155.82-600</f>
        <v>12555.82</v>
      </c>
      <c r="M71" s="55">
        <v>0</v>
      </c>
    </row>
    <row r="72" spans="1:14" s="1" customFormat="1" ht="15.75" customHeight="1" x14ac:dyDescent="0.3">
      <c r="A72" s="165"/>
      <c r="B72" s="167"/>
      <c r="C72" s="165"/>
      <c r="D72" s="157" t="s">
        <v>50</v>
      </c>
      <c r="E72" s="158"/>
      <c r="F72" s="160" t="s">
        <v>11</v>
      </c>
      <c r="G72" s="165"/>
      <c r="H72" s="181">
        <f>I72+K72+L72+M72</f>
        <v>35033.08</v>
      </c>
      <c r="I72" s="156">
        <v>0</v>
      </c>
      <c r="J72" s="62" t="s">
        <v>7</v>
      </c>
      <c r="K72" s="116">
        <f>K74</f>
        <v>0</v>
      </c>
      <c r="L72" s="55">
        <f>L74</f>
        <v>25852.18</v>
      </c>
      <c r="M72" s="55">
        <f>M74</f>
        <v>9180.9</v>
      </c>
    </row>
    <row r="73" spans="1:14" s="1" customFormat="1" ht="15.75" customHeight="1" x14ac:dyDescent="0.3">
      <c r="A73" s="165"/>
      <c r="B73" s="167"/>
      <c r="C73" s="165"/>
      <c r="D73" s="158"/>
      <c r="E73" s="158"/>
      <c r="F73" s="160"/>
      <c r="G73" s="165"/>
      <c r="H73" s="181"/>
      <c r="I73" s="156"/>
      <c r="J73" s="82" t="s">
        <v>8</v>
      </c>
      <c r="K73" s="116">
        <v>0</v>
      </c>
      <c r="L73" s="55">
        <v>0</v>
      </c>
      <c r="M73" s="55">
        <v>0</v>
      </c>
    </row>
    <row r="74" spans="1:14" s="1" customFormat="1" ht="15.6" x14ac:dyDescent="0.3">
      <c r="A74" s="164"/>
      <c r="B74" s="168"/>
      <c r="C74" s="164"/>
      <c r="D74" s="159"/>
      <c r="E74" s="159"/>
      <c r="F74" s="160"/>
      <c r="G74" s="164"/>
      <c r="H74" s="181"/>
      <c r="I74" s="156"/>
      <c r="J74" s="29" t="s">
        <v>9</v>
      </c>
      <c r="K74" s="116">
        <v>0</v>
      </c>
      <c r="L74" s="55">
        <v>25852.18</v>
      </c>
      <c r="M74" s="55">
        <v>9180.9</v>
      </c>
    </row>
    <row r="75" spans="1:14" s="20" customFormat="1" ht="15.6" x14ac:dyDescent="0.3">
      <c r="A75" s="189" t="s">
        <v>55</v>
      </c>
      <c r="B75" s="189"/>
      <c r="C75" s="189"/>
      <c r="D75" s="189"/>
      <c r="E75" s="189"/>
      <c r="F75" s="189"/>
      <c r="G75" s="189"/>
      <c r="H75" s="189"/>
      <c r="I75" s="189"/>
      <c r="J75" s="5" t="s">
        <v>7</v>
      </c>
      <c r="K75" s="3">
        <f t="shared" ref="K75:M75" si="10">K76+K77</f>
        <v>3833.66</v>
      </c>
      <c r="L75" s="3">
        <f t="shared" si="10"/>
        <v>280604.57999999996</v>
      </c>
      <c r="M75" s="3">
        <f t="shared" si="10"/>
        <v>374348.20999999996</v>
      </c>
    </row>
    <row r="76" spans="1:14" s="20" customFormat="1" ht="15.6" x14ac:dyDescent="0.3">
      <c r="A76" s="189"/>
      <c r="B76" s="189"/>
      <c r="C76" s="189"/>
      <c r="D76" s="189"/>
      <c r="E76" s="189"/>
      <c r="F76" s="189"/>
      <c r="G76" s="189"/>
      <c r="H76" s="189"/>
      <c r="I76" s="189"/>
      <c r="J76" s="5" t="s">
        <v>8</v>
      </c>
      <c r="K76" s="3">
        <f>K79+K82</f>
        <v>0</v>
      </c>
      <c r="L76" s="3">
        <f t="shared" ref="L76:M76" si="11">L79+L82</f>
        <v>168362.74</v>
      </c>
      <c r="M76" s="3">
        <f t="shared" si="11"/>
        <v>208978.37</v>
      </c>
    </row>
    <row r="77" spans="1:14" s="20" customFormat="1" ht="15.6" x14ac:dyDescent="0.3">
      <c r="A77" s="189"/>
      <c r="B77" s="189"/>
      <c r="C77" s="189"/>
      <c r="D77" s="189"/>
      <c r="E77" s="189"/>
      <c r="F77" s="189"/>
      <c r="G77" s="189"/>
      <c r="H77" s="189"/>
      <c r="I77" s="189"/>
      <c r="J77" s="5" t="s">
        <v>9</v>
      </c>
      <c r="K77" s="3">
        <f>K80+K83+K85+K87</f>
        <v>3833.66</v>
      </c>
      <c r="L77" s="3">
        <f t="shared" ref="L77:M77" si="12">L80+L83+L85+L87</f>
        <v>112241.84</v>
      </c>
      <c r="M77" s="3">
        <f t="shared" si="12"/>
        <v>165369.84</v>
      </c>
    </row>
    <row r="78" spans="1:14" s="1" customFormat="1" ht="15.75" customHeight="1" x14ac:dyDescent="0.3">
      <c r="A78" s="172" t="s">
        <v>365</v>
      </c>
      <c r="B78" s="173" t="s">
        <v>39</v>
      </c>
      <c r="C78" s="163" t="s">
        <v>211</v>
      </c>
      <c r="D78" s="33" t="s">
        <v>25</v>
      </c>
      <c r="E78" s="172" t="s">
        <v>12</v>
      </c>
      <c r="F78" s="160" t="s">
        <v>13</v>
      </c>
      <c r="G78" s="160" t="s">
        <v>185</v>
      </c>
      <c r="H78" s="181">
        <f>I78+K78+L78+M78</f>
        <v>205602.93</v>
      </c>
      <c r="I78" s="156">
        <v>0</v>
      </c>
      <c r="J78" s="29" t="s">
        <v>7</v>
      </c>
      <c r="K78" s="116">
        <f>K79+K80</f>
        <v>0</v>
      </c>
      <c r="L78" s="28">
        <f t="shared" ref="L78:M78" si="13">L79+L80</f>
        <v>92521.32</v>
      </c>
      <c r="M78" s="28">
        <f t="shared" si="13"/>
        <v>113081.61</v>
      </c>
    </row>
    <row r="79" spans="1:14" s="1" customFormat="1" ht="15.6" x14ac:dyDescent="0.3">
      <c r="A79" s="172"/>
      <c r="B79" s="186"/>
      <c r="C79" s="165"/>
      <c r="D79" s="157" t="s">
        <v>56</v>
      </c>
      <c r="E79" s="172"/>
      <c r="F79" s="160"/>
      <c r="G79" s="160"/>
      <c r="H79" s="181"/>
      <c r="I79" s="156"/>
      <c r="J79" s="29" t="s">
        <v>8</v>
      </c>
      <c r="K79" s="116">
        <v>0</v>
      </c>
      <c r="L79" s="78">
        <v>55512.79</v>
      </c>
      <c r="M79" s="123">
        <v>67848.97</v>
      </c>
      <c r="N79" s="13"/>
    </row>
    <row r="80" spans="1:14" s="1" customFormat="1" ht="30.75" customHeight="1" x14ac:dyDescent="0.3">
      <c r="A80" s="172"/>
      <c r="B80" s="174"/>
      <c r="C80" s="164"/>
      <c r="D80" s="159"/>
      <c r="E80" s="172"/>
      <c r="F80" s="160"/>
      <c r="G80" s="160"/>
      <c r="H80" s="181"/>
      <c r="I80" s="156"/>
      <c r="J80" s="29" t="s">
        <v>9</v>
      </c>
      <c r="K80" s="116">
        <v>0</v>
      </c>
      <c r="L80" s="76">
        <v>37008.53</v>
      </c>
      <c r="M80" s="123">
        <v>45232.639999999999</v>
      </c>
    </row>
    <row r="81" spans="1:14" s="1" customFormat="1" ht="15.6" x14ac:dyDescent="0.3">
      <c r="A81" s="172" t="s">
        <v>366</v>
      </c>
      <c r="B81" s="171" t="s">
        <v>57</v>
      </c>
      <c r="C81" s="172" t="s">
        <v>212</v>
      </c>
      <c r="D81" s="26" t="s">
        <v>25</v>
      </c>
      <c r="E81" s="172" t="s">
        <v>12</v>
      </c>
      <c r="F81" s="160" t="s">
        <v>13</v>
      </c>
      <c r="G81" s="160" t="s">
        <v>112</v>
      </c>
      <c r="H81" s="181">
        <f>I81+K81+L81+M81</f>
        <v>427668.31</v>
      </c>
      <c r="I81" s="161">
        <v>4369.3900000000003</v>
      </c>
      <c r="J81" s="29" t="s">
        <v>7</v>
      </c>
      <c r="K81" s="116">
        <f>K82+K83</f>
        <v>0</v>
      </c>
      <c r="L81" s="28">
        <f>L82+L83</f>
        <v>188083.26</v>
      </c>
      <c r="M81" s="28">
        <f>M82+M83</f>
        <v>235215.65999999997</v>
      </c>
    </row>
    <row r="82" spans="1:14" s="1" customFormat="1" ht="15.6" x14ac:dyDescent="0.3">
      <c r="A82" s="172"/>
      <c r="B82" s="171"/>
      <c r="C82" s="172"/>
      <c r="D82" s="157" t="s">
        <v>56</v>
      </c>
      <c r="E82" s="172"/>
      <c r="F82" s="160"/>
      <c r="G82" s="160"/>
      <c r="H82" s="172"/>
      <c r="I82" s="161"/>
      <c r="J82" s="29" t="s">
        <v>8</v>
      </c>
      <c r="K82" s="116">
        <v>0</v>
      </c>
      <c r="L82" s="123">
        <v>112849.95</v>
      </c>
      <c r="M82" s="78">
        <v>141129.4</v>
      </c>
    </row>
    <row r="83" spans="1:14" s="1" customFormat="1" ht="37.5" customHeight="1" x14ac:dyDescent="0.3">
      <c r="A83" s="172"/>
      <c r="B83" s="171"/>
      <c r="C83" s="172"/>
      <c r="D83" s="159"/>
      <c r="E83" s="172"/>
      <c r="F83" s="160"/>
      <c r="G83" s="160"/>
      <c r="H83" s="172"/>
      <c r="I83" s="161"/>
      <c r="J83" s="29" t="s">
        <v>9</v>
      </c>
      <c r="K83" s="116">
        <v>0</v>
      </c>
      <c r="L83" s="123">
        <v>75233.31</v>
      </c>
      <c r="M83" s="27">
        <v>94086.26</v>
      </c>
      <c r="N83" s="13"/>
    </row>
    <row r="84" spans="1:14" s="1" customFormat="1" ht="15.6" x14ac:dyDescent="0.3">
      <c r="A84" s="157" t="s">
        <v>367</v>
      </c>
      <c r="B84" s="166" t="s">
        <v>124</v>
      </c>
      <c r="C84" s="163" t="s">
        <v>213</v>
      </c>
      <c r="D84" s="157" t="s">
        <v>25</v>
      </c>
      <c r="E84" s="157" t="s">
        <v>12</v>
      </c>
      <c r="F84" s="160" t="s">
        <v>389</v>
      </c>
      <c r="G84" s="163" t="s">
        <v>265</v>
      </c>
      <c r="H84" s="161">
        <f>I84+K84+L84+M84</f>
        <v>3833.66</v>
      </c>
      <c r="I84" s="161">
        <v>0</v>
      </c>
      <c r="J84" s="29" t="s">
        <v>7</v>
      </c>
      <c r="K84" s="116">
        <f>K85</f>
        <v>3833.66</v>
      </c>
      <c r="L84" s="55">
        <f t="shared" ref="L84:M84" si="14">L85</f>
        <v>0</v>
      </c>
      <c r="M84" s="55">
        <f t="shared" si="14"/>
        <v>0</v>
      </c>
    </row>
    <row r="85" spans="1:14" s="1" customFormat="1" ht="46.2" customHeight="1" x14ac:dyDescent="0.3">
      <c r="A85" s="158"/>
      <c r="B85" s="167"/>
      <c r="C85" s="165"/>
      <c r="D85" s="159"/>
      <c r="E85" s="158"/>
      <c r="F85" s="160"/>
      <c r="G85" s="165"/>
      <c r="H85" s="160"/>
      <c r="I85" s="161"/>
      <c r="J85" s="29" t="s">
        <v>9</v>
      </c>
      <c r="K85" s="116">
        <v>3833.66</v>
      </c>
      <c r="L85" s="71">
        <v>0</v>
      </c>
      <c r="M85" s="71">
        <v>0</v>
      </c>
    </row>
    <row r="86" spans="1:14" s="1" customFormat="1" ht="15.6" x14ac:dyDescent="0.3">
      <c r="A86" s="158"/>
      <c r="B86" s="167"/>
      <c r="C86" s="165"/>
      <c r="D86" s="158" t="s">
        <v>56</v>
      </c>
      <c r="E86" s="158"/>
      <c r="F86" s="160" t="s">
        <v>13</v>
      </c>
      <c r="G86" s="165"/>
      <c r="H86" s="161">
        <f>I86+K86+L86+M86</f>
        <v>26050.94</v>
      </c>
      <c r="I86" s="161">
        <v>0</v>
      </c>
      <c r="J86" s="29" t="s">
        <v>7</v>
      </c>
      <c r="K86" s="116">
        <f>K87</f>
        <v>0</v>
      </c>
      <c r="L86" s="55">
        <f t="shared" ref="L86:M86" si="15">L87</f>
        <v>0</v>
      </c>
      <c r="M86" s="55">
        <f t="shared" si="15"/>
        <v>26050.94</v>
      </c>
    </row>
    <row r="87" spans="1:14" s="1" customFormat="1" ht="30" customHeight="1" x14ac:dyDescent="0.3">
      <c r="A87" s="159"/>
      <c r="B87" s="168"/>
      <c r="C87" s="164"/>
      <c r="D87" s="159"/>
      <c r="E87" s="159"/>
      <c r="F87" s="160"/>
      <c r="G87" s="164"/>
      <c r="H87" s="160"/>
      <c r="I87" s="161"/>
      <c r="J87" s="29" t="s">
        <v>9</v>
      </c>
      <c r="K87" s="116">
        <v>0</v>
      </c>
      <c r="L87" s="71">
        <v>0</v>
      </c>
      <c r="M87" s="71">
        <v>26050.94</v>
      </c>
    </row>
    <row r="88" spans="1:14" s="20" customFormat="1" ht="13.5" customHeight="1" x14ac:dyDescent="0.3">
      <c r="A88" s="189" t="s">
        <v>200</v>
      </c>
      <c r="B88" s="189"/>
      <c r="C88" s="189"/>
      <c r="D88" s="189"/>
      <c r="E88" s="189"/>
      <c r="F88" s="189"/>
      <c r="G88" s="189"/>
      <c r="H88" s="189"/>
      <c r="I88" s="189"/>
      <c r="J88" s="5" t="s">
        <v>7</v>
      </c>
      <c r="K88" s="3">
        <f t="shared" ref="K88:L88" si="16">K89+K90</f>
        <v>20638.05</v>
      </c>
      <c r="L88" s="3">
        <f t="shared" si="16"/>
        <v>56332.28</v>
      </c>
      <c r="M88" s="3">
        <f t="shared" ref="M88" si="17">M89+M90</f>
        <v>98932.87000000001</v>
      </c>
    </row>
    <row r="89" spans="1:14" s="20" customFormat="1" ht="14.25" customHeight="1" x14ac:dyDescent="0.3">
      <c r="A89" s="189"/>
      <c r="B89" s="189"/>
      <c r="C89" s="189"/>
      <c r="D89" s="189"/>
      <c r="E89" s="189"/>
      <c r="F89" s="189"/>
      <c r="G89" s="189"/>
      <c r="H89" s="189"/>
      <c r="I89" s="189"/>
      <c r="J89" s="5" t="s">
        <v>8</v>
      </c>
      <c r="K89" s="3">
        <f>K94+K97+K102</f>
        <v>0</v>
      </c>
      <c r="L89" s="3">
        <f t="shared" ref="L89:M89" si="18">L94+L97+L102</f>
        <v>0</v>
      </c>
      <c r="M89" s="3">
        <f t="shared" si="18"/>
        <v>0</v>
      </c>
    </row>
    <row r="90" spans="1:14" s="20" customFormat="1" ht="15.6" x14ac:dyDescent="0.3">
      <c r="A90" s="189"/>
      <c r="B90" s="189"/>
      <c r="C90" s="189"/>
      <c r="D90" s="189"/>
      <c r="E90" s="189"/>
      <c r="F90" s="189"/>
      <c r="G90" s="189"/>
      <c r="H90" s="189"/>
      <c r="I90" s="189"/>
      <c r="J90" s="5" t="s">
        <v>9</v>
      </c>
      <c r="K90" s="3">
        <f>K95+K98+K100+K103+K105+K107</f>
        <v>20638.05</v>
      </c>
      <c r="L90" s="3">
        <f t="shared" ref="L90:M90" si="19">L95+L98+L100+L103+L105+L107</f>
        <v>56332.28</v>
      </c>
      <c r="M90" s="3">
        <f t="shared" si="19"/>
        <v>98932.87000000001</v>
      </c>
    </row>
    <row r="91" spans="1:14" s="12" customFormat="1" ht="31.5" hidden="1" customHeight="1" outlineLevel="1" x14ac:dyDescent="0.3">
      <c r="A91" s="157" t="s">
        <v>347</v>
      </c>
      <c r="B91" s="173" t="s">
        <v>45</v>
      </c>
      <c r="C91" s="163" t="s">
        <v>330</v>
      </c>
      <c r="D91" s="163" t="s">
        <v>25</v>
      </c>
      <c r="E91" s="157" t="s">
        <v>12</v>
      </c>
      <c r="F91" s="160" t="s">
        <v>97</v>
      </c>
      <c r="G91" s="195" t="s">
        <v>17</v>
      </c>
      <c r="H91" s="169">
        <f>I91+K91+L91+M91</f>
        <v>10016.57</v>
      </c>
      <c r="I91" s="201">
        <v>10016.57</v>
      </c>
      <c r="J91" s="43" t="s">
        <v>7</v>
      </c>
      <c r="K91" s="117">
        <f>K92</f>
        <v>0</v>
      </c>
      <c r="L91" s="32">
        <f t="shared" ref="L91:M91" si="20">L92</f>
        <v>0</v>
      </c>
      <c r="M91" s="32">
        <f t="shared" si="20"/>
        <v>0</v>
      </c>
    </row>
    <row r="92" spans="1:14" s="12" customFormat="1" ht="15.6" hidden="1" outlineLevel="1" x14ac:dyDescent="0.3">
      <c r="A92" s="158"/>
      <c r="B92" s="186"/>
      <c r="C92" s="165"/>
      <c r="D92" s="165"/>
      <c r="E92" s="158"/>
      <c r="F92" s="160"/>
      <c r="G92" s="196"/>
      <c r="H92" s="164"/>
      <c r="I92" s="202"/>
      <c r="J92" s="43" t="s">
        <v>9</v>
      </c>
      <c r="K92" s="117">
        <v>0</v>
      </c>
      <c r="L92" s="32">
        <v>0</v>
      </c>
      <c r="M92" s="32">
        <v>0</v>
      </c>
    </row>
    <row r="93" spans="1:14" s="1" customFormat="1" ht="18.75" customHeight="1" collapsed="1" x14ac:dyDescent="0.3">
      <c r="A93" s="158"/>
      <c r="B93" s="186"/>
      <c r="C93" s="165"/>
      <c r="D93" s="164"/>
      <c r="E93" s="158"/>
      <c r="F93" s="163" t="s">
        <v>11</v>
      </c>
      <c r="G93" s="163" t="s">
        <v>331</v>
      </c>
      <c r="H93" s="190">
        <f>I93+K93+L93+M93</f>
        <v>26994.74</v>
      </c>
      <c r="I93" s="169">
        <f>4595.81+16929.91</f>
        <v>21525.72</v>
      </c>
      <c r="J93" s="31" t="s">
        <v>7</v>
      </c>
      <c r="K93" s="117">
        <f>K95</f>
        <v>0</v>
      </c>
      <c r="L93" s="34">
        <f>L95</f>
        <v>5469.02</v>
      </c>
      <c r="M93" s="34">
        <f>M95</f>
        <v>0</v>
      </c>
    </row>
    <row r="94" spans="1:14" s="1" customFormat="1" ht="15" customHeight="1" x14ac:dyDescent="0.3">
      <c r="A94" s="158"/>
      <c r="B94" s="186"/>
      <c r="C94" s="165"/>
      <c r="D94" s="163" t="s">
        <v>141</v>
      </c>
      <c r="E94" s="158"/>
      <c r="F94" s="165"/>
      <c r="G94" s="165"/>
      <c r="H94" s="191"/>
      <c r="I94" s="176"/>
      <c r="J94" s="29" t="s">
        <v>8</v>
      </c>
      <c r="K94" s="19">
        <v>0</v>
      </c>
      <c r="L94" s="7">
        <v>0</v>
      </c>
      <c r="M94" s="7">
        <v>0</v>
      </c>
    </row>
    <row r="95" spans="1:14" s="1" customFormat="1" ht="34.5" customHeight="1" x14ac:dyDescent="0.3">
      <c r="A95" s="159"/>
      <c r="B95" s="174"/>
      <c r="C95" s="164"/>
      <c r="D95" s="164"/>
      <c r="E95" s="159"/>
      <c r="F95" s="164"/>
      <c r="G95" s="164"/>
      <c r="H95" s="192"/>
      <c r="I95" s="170"/>
      <c r="J95" s="29" t="s">
        <v>9</v>
      </c>
      <c r="K95" s="116">
        <v>0</v>
      </c>
      <c r="L95" s="28">
        <v>5469.02</v>
      </c>
      <c r="M95" s="28">
        <v>0</v>
      </c>
    </row>
    <row r="96" spans="1:14" s="8" customFormat="1" ht="15.75" customHeight="1" x14ac:dyDescent="0.3">
      <c r="A96" s="172" t="s">
        <v>368</v>
      </c>
      <c r="B96" s="171" t="s">
        <v>101</v>
      </c>
      <c r="C96" s="160" t="s">
        <v>215</v>
      </c>
      <c r="D96" s="59" t="s">
        <v>24</v>
      </c>
      <c r="E96" s="172" t="s">
        <v>12</v>
      </c>
      <c r="F96" s="163" t="s">
        <v>11</v>
      </c>
      <c r="G96" s="163" t="s">
        <v>82</v>
      </c>
      <c r="H96" s="190">
        <f>I96+K96+L96+M96</f>
        <v>49293.650000000009</v>
      </c>
      <c r="I96" s="169">
        <f>9069.24+10457.7</f>
        <v>19526.940000000002</v>
      </c>
      <c r="J96" s="60" t="s">
        <v>7</v>
      </c>
      <c r="K96" s="117">
        <f>K98</f>
        <v>20638.05</v>
      </c>
      <c r="L96" s="63">
        <f>L98</f>
        <v>9128.66</v>
      </c>
      <c r="M96" s="63">
        <f>M98</f>
        <v>0</v>
      </c>
    </row>
    <row r="97" spans="1:13" s="1" customFormat="1" ht="15.6" x14ac:dyDescent="0.3">
      <c r="A97" s="172"/>
      <c r="B97" s="171"/>
      <c r="C97" s="160"/>
      <c r="D97" s="172" t="s">
        <v>50</v>
      </c>
      <c r="E97" s="172"/>
      <c r="F97" s="165"/>
      <c r="G97" s="165"/>
      <c r="H97" s="191"/>
      <c r="I97" s="176"/>
      <c r="J97" s="48" t="s">
        <v>8</v>
      </c>
      <c r="K97" s="116">
        <v>0</v>
      </c>
      <c r="L97" s="50">
        <v>0</v>
      </c>
      <c r="M97" s="50">
        <v>0</v>
      </c>
    </row>
    <row r="98" spans="1:13" s="1" customFormat="1" ht="15.6" x14ac:dyDescent="0.3">
      <c r="A98" s="172"/>
      <c r="B98" s="171"/>
      <c r="C98" s="160"/>
      <c r="D98" s="172"/>
      <c r="E98" s="172"/>
      <c r="F98" s="164"/>
      <c r="G98" s="164"/>
      <c r="H98" s="192"/>
      <c r="I98" s="170"/>
      <c r="J98" s="29" t="s">
        <v>9</v>
      </c>
      <c r="K98" s="116">
        <f>21238.05-600</f>
        <v>20638.05</v>
      </c>
      <c r="L98" s="50">
        <v>9128.66</v>
      </c>
      <c r="M98" s="50">
        <v>0</v>
      </c>
    </row>
    <row r="99" spans="1:13" s="12" customFormat="1" ht="15.75" customHeight="1" x14ac:dyDescent="0.3">
      <c r="A99" s="172" t="s">
        <v>369</v>
      </c>
      <c r="B99" s="184" t="s">
        <v>84</v>
      </c>
      <c r="C99" s="160" t="s">
        <v>216</v>
      </c>
      <c r="D99" s="160" t="s">
        <v>24</v>
      </c>
      <c r="E99" s="172" t="s">
        <v>12</v>
      </c>
      <c r="F99" s="160" t="s">
        <v>97</v>
      </c>
      <c r="G99" s="163" t="s">
        <v>275</v>
      </c>
      <c r="H99" s="161">
        <f>I99+K99+L99+M99</f>
        <v>18077.759999999998</v>
      </c>
      <c r="I99" s="161">
        <v>0</v>
      </c>
      <c r="J99" s="22" t="s">
        <v>7</v>
      </c>
      <c r="K99" s="116">
        <f>K100</f>
        <v>0</v>
      </c>
      <c r="L99" s="27">
        <f t="shared" ref="L99" si="21">L100</f>
        <v>18077.759999999998</v>
      </c>
      <c r="M99" s="27">
        <f t="shared" ref="M99" si="22">M100</f>
        <v>0</v>
      </c>
    </row>
    <row r="100" spans="1:13" s="12" customFormat="1" ht="37.5" customHeight="1" x14ac:dyDescent="0.3">
      <c r="A100" s="172"/>
      <c r="B100" s="184"/>
      <c r="C100" s="160"/>
      <c r="D100" s="160"/>
      <c r="E100" s="172"/>
      <c r="F100" s="160"/>
      <c r="G100" s="165"/>
      <c r="H100" s="160"/>
      <c r="I100" s="161"/>
      <c r="J100" s="30" t="s">
        <v>9</v>
      </c>
      <c r="K100" s="116">
        <v>0</v>
      </c>
      <c r="L100" s="27">
        <v>18077.759999999998</v>
      </c>
      <c r="M100" s="27">
        <v>0</v>
      </c>
    </row>
    <row r="101" spans="1:13" s="13" customFormat="1" ht="15.75" customHeight="1" x14ac:dyDescent="0.3">
      <c r="A101" s="172"/>
      <c r="B101" s="184"/>
      <c r="C101" s="160"/>
      <c r="D101" s="172" t="s">
        <v>50</v>
      </c>
      <c r="E101" s="172"/>
      <c r="F101" s="160" t="s">
        <v>11</v>
      </c>
      <c r="G101" s="165"/>
      <c r="H101" s="161">
        <f>I101+K101+L101+M101</f>
        <v>20978.940000000002</v>
      </c>
      <c r="I101" s="161">
        <v>0</v>
      </c>
      <c r="J101" s="25" t="s">
        <v>7</v>
      </c>
      <c r="K101" s="116">
        <f>K103</f>
        <v>0</v>
      </c>
      <c r="L101" s="28">
        <f>L103</f>
        <v>14817.92</v>
      </c>
      <c r="M101" s="28">
        <f>M103</f>
        <v>6161.02</v>
      </c>
    </row>
    <row r="102" spans="1:13" s="13" customFormat="1" ht="15.6" x14ac:dyDescent="0.3">
      <c r="A102" s="172"/>
      <c r="B102" s="184"/>
      <c r="C102" s="160"/>
      <c r="D102" s="172"/>
      <c r="E102" s="172"/>
      <c r="F102" s="160"/>
      <c r="G102" s="165"/>
      <c r="H102" s="161"/>
      <c r="I102" s="161"/>
      <c r="J102" s="25" t="s">
        <v>8</v>
      </c>
      <c r="K102" s="116">
        <v>0</v>
      </c>
      <c r="L102" s="28">
        <v>0</v>
      </c>
      <c r="M102" s="28">
        <v>0</v>
      </c>
    </row>
    <row r="103" spans="1:13" s="13" customFormat="1" ht="15.6" x14ac:dyDescent="0.3">
      <c r="A103" s="172"/>
      <c r="B103" s="184"/>
      <c r="C103" s="160"/>
      <c r="D103" s="172"/>
      <c r="E103" s="172"/>
      <c r="F103" s="160"/>
      <c r="G103" s="164"/>
      <c r="H103" s="161"/>
      <c r="I103" s="161"/>
      <c r="J103" s="29" t="s">
        <v>9</v>
      </c>
      <c r="K103" s="116">
        <v>0</v>
      </c>
      <c r="L103" s="28">
        <v>14817.92</v>
      </c>
      <c r="M103" s="28">
        <v>6161.02</v>
      </c>
    </row>
    <row r="104" spans="1:13" s="1" customFormat="1" ht="29.25" customHeight="1" x14ac:dyDescent="0.3">
      <c r="A104" s="172" t="s">
        <v>348</v>
      </c>
      <c r="B104" s="184" t="s">
        <v>89</v>
      </c>
      <c r="C104" s="160" t="s">
        <v>217</v>
      </c>
      <c r="D104" s="160" t="s">
        <v>24</v>
      </c>
      <c r="E104" s="172" t="s">
        <v>12</v>
      </c>
      <c r="F104" s="160" t="s">
        <v>97</v>
      </c>
      <c r="G104" s="163" t="s">
        <v>185</v>
      </c>
      <c r="H104" s="161">
        <f>I104+K104+L104+M104</f>
        <v>5803.5</v>
      </c>
      <c r="I104" s="161">
        <v>0</v>
      </c>
      <c r="J104" s="22" t="s">
        <v>7</v>
      </c>
      <c r="K104" s="116">
        <f>K105</f>
        <v>0</v>
      </c>
      <c r="L104" s="27">
        <f t="shared" ref="L104:M104" si="23">L105</f>
        <v>5803.5</v>
      </c>
      <c r="M104" s="27">
        <f t="shared" si="23"/>
        <v>0</v>
      </c>
    </row>
    <row r="105" spans="1:13" s="1" customFormat="1" ht="24" customHeight="1" x14ac:dyDescent="0.3">
      <c r="A105" s="172"/>
      <c r="B105" s="184"/>
      <c r="C105" s="160"/>
      <c r="D105" s="160"/>
      <c r="E105" s="172"/>
      <c r="F105" s="160"/>
      <c r="G105" s="165"/>
      <c r="H105" s="160"/>
      <c r="I105" s="161"/>
      <c r="J105" s="30" t="s">
        <v>9</v>
      </c>
      <c r="K105" s="116">
        <v>0</v>
      </c>
      <c r="L105" s="76">
        <v>5803.5</v>
      </c>
      <c r="M105" s="28">
        <v>0</v>
      </c>
    </row>
    <row r="106" spans="1:13" s="1" customFormat="1" ht="15.75" customHeight="1" x14ac:dyDescent="0.3">
      <c r="A106" s="172"/>
      <c r="B106" s="184"/>
      <c r="C106" s="160"/>
      <c r="D106" s="172" t="s">
        <v>50</v>
      </c>
      <c r="E106" s="172"/>
      <c r="F106" s="160" t="s">
        <v>11</v>
      </c>
      <c r="G106" s="165"/>
      <c r="H106" s="181">
        <f>I106+K106+L106+M106</f>
        <v>95807.27</v>
      </c>
      <c r="I106" s="161">
        <v>0</v>
      </c>
      <c r="J106" s="29" t="s">
        <v>7</v>
      </c>
      <c r="K106" s="19">
        <f>K107</f>
        <v>0</v>
      </c>
      <c r="L106" s="7">
        <f>L107</f>
        <v>3035.42</v>
      </c>
      <c r="M106" s="7">
        <f>M107</f>
        <v>92771.85</v>
      </c>
    </row>
    <row r="107" spans="1:13" s="1" customFormat="1" ht="15.6" x14ac:dyDescent="0.3">
      <c r="A107" s="172"/>
      <c r="B107" s="184"/>
      <c r="C107" s="160"/>
      <c r="D107" s="172"/>
      <c r="E107" s="172"/>
      <c r="F107" s="160"/>
      <c r="G107" s="164"/>
      <c r="H107" s="172"/>
      <c r="I107" s="161"/>
      <c r="J107" s="29" t="s">
        <v>9</v>
      </c>
      <c r="K107" s="116">
        <v>0</v>
      </c>
      <c r="L107" s="7">
        <v>3035.42</v>
      </c>
      <c r="M107" s="7">
        <f>74814.31+17957.54</f>
        <v>92771.85</v>
      </c>
    </row>
    <row r="108" spans="1:13" s="6" customFormat="1" ht="15.6" x14ac:dyDescent="0.3">
      <c r="A108" s="189" t="s">
        <v>201</v>
      </c>
      <c r="B108" s="189"/>
      <c r="C108" s="189"/>
      <c r="D108" s="189"/>
      <c r="E108" s="189"/>
      <c r="F108" s="189"/>
      <c r="G108" s="189"/>
      <c r="H108" s="189"/>
      <c r="I108" s="189"/>
      <c r="J108" s="5" t="s">
        <v>7</v>
      </c>
      <c r="K108" s="3">
        <f>K109+K110</f>
        <v>2316049.19</v>
      </c>
      <c r="L108" s="3">
        <f t="shared" ref="L108" si="24">L109+L110</f>
        <v>1821450.12</v>
      </c>
      <c r="M108" s="3">
        <f t="shared" ref="M108" si="25">M109+M110</f>
        <v>1810992.69</v>
      </c>
    </row>
    <row r="109" spans="1:13" s="6" customFormat="1" ht="15.6" x14ac:dyDescent="0.3">
      <c r="A109" s="189"/>
      <c r="B109" s="189"/>
      <c r="C109" s="189"/>
      <c r="D109" s="189"/>
      <c r="E109" s="189"/>
      <c r="F109" s="189"/>
      <c r="G109" s="189"/>
      <c r="H109" s="189"/>
      <c r="I109" s="189"/>
      <c r="J109" s="5" t="s">
        <v>8</v>
      </c>
      <c r="K109" s="3">
        <f>K112+K115+K118+K132+K135+K140+K143+K152+K155+K161+K171+K174+K190+K196+K199+K202+K205+K210+K215+K158+K123</f>
        <v>1791648.7</v>
      </c>
      <c r="L109" s="3">
        <f t="shared" ref="L109:M109" si="26">L112+L115+L118+L132+L135+L140+L143+L152+L155+L161+L171+L174+L190+L196+L199+L202+L205+L210+L215+L158</f>
        <v>1121198.51</v>
      </c>
      <c r="M109" s="3">
        <f t="shared" si="26"/>
        <v>1477536.77</v>
      </c>
    </row>
    <row r="110" spans="1:13" s="6" customFormat="1" ht="15.6" x14ac:dyDescent="0.3">
      <c r="A110" s="189"/>
      <c r="B110" s="189"/>
      <c r="C110" s="189"/>
      <c r="D110" s="189"/>
      <c r="E110" s="189"/>
      <c r="F110" s="189"/>
      <c r="G110" s="189"/>
      <c r="H110" s="189"/>
      <c r="I110" s="189"/>
      <c r="J110" s="5" t="s">
        <v>9</v>
      </c>
      <c r="K110" s="3">
        <f>K113+K116+K119+K124+K126+K128+K133+K136+K141+K144+K147+K153+K156+K162+K175+K177+K179+K181+K183+K186+K191+K197+K200+K203+K206+K211+K213+K219+K166+K169+K216+K208+K130+K138+K150+K159+K188+K194+K164+K224+K121</f>
        <v>524400.49000000011</v>
      </c>
      <c r="L110" s="3">
        <f t="shared" ref="L110" si="27">L113+L116+L119+L124+L126+L128+L133+L136+L141+L144+L147+L153+L156+L162+L175+L177+L179+L181+L183+L186+L191+L197+L200+L203+L206+L211+L213+L219+L166+L169+L216+L208+L130+L138+L150+L159+L188+L194+L164+L224+L121</f>
        <v>700251.61</v>
      </c>
      <c r="M110" s="3">
        <f>M113+M116+M119+M124+M126+M128+M133+M136+M141+M144+M147+M153+M156+M162+M175+M177+M179+M181+M183+M186+M191+M197+M200+M203+M206+M211+M213+M219+M166+M169+M216+M208+M130+M138+M150+M159+M188+M194+M164+M224+M121+M226</f>
        <v>333455.92000000004</v>
      </c>
    </row>
    <row r="111" spans="1:13" s="8" customFormat="1" ht="15.6" x14ac:dyDescent="0.3">
      <c r="A111" s="160" t="s">
        <v>370</v>
      </c>
      <c r="B111" s="171" t="s">
        <v>102</v>
      </c>
      <c r="C111" s="160" t="s">
        <v>336</v>
      </c>
      <c r="D111" s="160" t="s">
        <v>26</v>
      </c>
      <c r="E111" s="160" t="s">
        <v>10</v>
      </c>
      <c r="F111" s="160" t="s">
        <v>11</v>
      </c>
      <c r="G111" s="160" t="s">
        <v>85</v>
      </c>
      <c r="H111" s="161">
        <f>I111+K111+L111+M111</f>
        <v>261772.59999999998</v>
      </c>
      <c r="I111" s="161">
        <v>166.25</v>
      </c>
      <c r="J111" s="51" t="s">
        <v>7</v>
      </c>
      <c r="K111" s="116">
        <f>K112+K113</f>
        <v>196466.05</v>
      </c>
      <c r="L111" s="49">
        <f t="shared" ref="L111:M111" si="28">L112+L113</f>
        <v>65140.3</v>
      </c>
      <c r="M111" s="49">
        <f t="shared" si="28"/>
        <v>0</v>
      </c>
    </row>
    <row r="112" spans="1:13" s="8" customFormat="1" ht="15.6" x14ac:dyDescent="0.3">
      <c r="A112" s="160"/>
      <c r="B112" s="171"/>
      <c r="C112" s="160"/>
      <c r="D112" s="160"/>
      <c r="E112" s="160"/>
      <c r="F112" s="160"/>
      <c r="G112" s="160"/>
      <c r="H112" s="160"/>
      <c r="I112" s="161"/>
      <c r="J112" s="51" t="s">
        <v>8</v>
      </c>
      <c r="K112" s="134">
        <v>194460.24</v>
      </c>
      <c r="L112" s="134">
        <v>64488.9</v>
      </c>
      <c r="M112" s="49">
        <v>0</v>
      </c>
    </row>
    <row r="113" spans="1:13" s="8" customFormat="1" ht="45.75" customHeight="1" x14ac:dyDescent="0.3">
      <c r="A113" s="160"/>
      <c r="B113" s="171"/>
      <c r="C113" s="160"/>
      <c r="D113" s="47" t="s">
        <v>14</v>
      </c>
      <c r="E113" s="160"/>
      <c r="F113" s="160"/>
      <c r="G113" s="160"/>
      <c r="H113" s="160"/>
      <c r="I113" s="161"/>
      <c r="J113" s="51" t="s">
        <v>9</v>
      </c>
      <c r="K113" s="143">
        <v>2005.81</v>
      </c>
      <c r="L113" s="49">
        <v>651.4</v>
      </c>
      <c r="M113" s="49">
        <v>0</v>
      </c>
    </row>
    <row r="114" spans="1:13" s="8" customFormat="1" ht="15.6" x14ac:dyDescent="0.3">
      <c r="A114" s="160" t="s">
        <v>194</v>
      </c>
      <c r="B114" s="171" t="s">
        <v>103</v>
      </c>
      <c r="C114" s="160" t="s">
        <v>334</v>
      </c>
      <c r="D114" s="160" t="s">
        <v>26</v>
      </c>
      <c r="E114" s="160" t="s">
        <v>10</v>
      </c>
      <c r="F114" s="160" t="s">
        <v>13</v>
      </c>
      <c r="G114" s="160" t="s">
        <v>85</v>
      </c>
      <c r="H114" s="161">
        <f>I114+K114+L114+M114</f>
        <v>82887.179999999993</v>
      </c>
      <c r="I114" s="161">
        <v>0</v>
      </c>
      <c r="J114" s="51" t="s">
        <v>7</v>
      </c>
      <c r="K114" s="116">
        <f>K115+K116</f>
        <v>65315.360000000001</v>
      </c>
      <c r="L114" s="49">
        <f>L115+L116</f>
        <v>17571.82</v>
      </c>
      <c r="M114" s="49">
        <f t="shared" ref="M114" si="29">M115+M116</f>
        <v>0</v>
      </c>
    </row>
    <row r="115" spans="1:13" s="8" customFormat="1" ht="15.6" x14ac:dyDescent="0.3">
      <c r="A115" s="160"/>
      <c r="B115" s="171"/>
      <c r="C115" s="160"/>
      <c r="D115" s="160"/>
      <c r="E115" s="160"/>
      <c r="F115" s="160"/>
      <c r="G115" s="160"/>
      <c r="H115" s="160"/>
      <c r="I115" s="161"/>
      <c r="J115" s="51" t="s">
        <v>8</v>
      </c>
      <c r="K115" s="116">
        <v>64662.21</v>
      </c>
      <c r="L115" s="49">
        <v>17396.099999999999</v>
      </c>
      <c r="M115" s="49">
        <v>0</v>
      </c>
    </row>
    <row r="116" spans="1:13" s="8" customFormat="1" ht="27.75" customHeight="1" x14ac:dyDescent="0.3">
      <c r="A116" s="160"/>
      <c r="B116" s="171"/>
      <c r="C116" s="160"/>
      <c r="D116" s="47" t="s">
        <v>14</v>
      </c>
      <c r="E116" s="160"/>
      <c r="F116" s="160"/>
      <c r="G116" s="160"/>
      <c r="H116" s="160"/>
      <c r="I116" s="161"/>
      <c r="J116" s="51" t="s">
        <v>9</v>
      </c>
      <c r="K116" s="116">
        <v>653.15</v>
      </c>
      <c r="L116" s="143">
        <v>175.72</v>
      </c>
      <c r="M116" s="49">
        <v>0</v>
      </c>
    </row>
    <row r="117" spans="1:13" s="8" customFormat="1" ht="15.75" customHeight="1" x14ac:dyDescent="0.3">
      <c r="A117" s="157" t="s">
        <v>371</v>
      </c>
      <c r="B117" s="166" t="s">
        <v>40</v>
      </c>
      <c r="C117" s="157" t="s">
        <v>218</v>
      </c>
      <c r="D117" s="26" t="s">
        <v>26</v>
      </c>
      <c r="E117" s="157" t="s">
        <v>10</v>
      </c>
      <c r="F117" s="163" t="s">
        <v>13</v>
      </c>
      <c r="G117" s="160" t="s">
        <v>185</v>
      </c>
      <c r="H117" s="181">
        <f>I117+K117+L117+M117</f>
        <v>16244.560000000001</v>
      </c>
      <c r="I117" s="161">
        <f>44.5+45.53</f>
        <v>90.03</v>
      </c>
      <c r="J117" s="25" t="s">
        <v>7</v>
      </c>
      <c r="K117" s="116">
        <f>K118+K119</f>
        <v>8.8699999999998909</v>
      </c>
      <c r="L117" s="28">
        <f>L118+L119</f>
        <v>8172.88</v>
      </c>
      <c r="M117" s="28">
        <f>M118+M119</f>
        <v>7972.78</v>
      </c>
    </row>
    <row r="118" spans="1:13" s="1" customFormat="1" ht="15.6" x14ac:dyDescent="0.3">
      <c r="A118" s="158"/>
      <c r="B118" s="167"/>
      <c r="C118" s="158"/>
      <c r="D118" s="157" t="s">
        <v>14</v>
      </c>
      <c r="E118" s="158"/>
      <c r="F118" s="165"/>
      <c r="G118" s="160"/>
      <c r="H118" s="181"/>
      <c r="I118" s="161"/>
      <c r="J118" s="25" t="s">
        <v>8</v>
      </c>
      <c r="K118" s="116">
        <v>0</v>
      </c>
      <c r="L118" s="28">
        <v>0</v>
      </c>
      <c r="M118" s="28">
        <v>0</v>
      </c>
    </row>
    <row r="119" spans="1:13" s="1" customFormat="1" ht="24" customHeight="1" x14ac:dyDescent="0.3">
      <c r="A119" s="158"/>
      <c r="B119" s="167"/>
      <c r="C119" s="158"/>
      <c r="D119" s="159"/>
      <c r="E119" s="158"/>
      <c r="F119" s="164"/>
      <c r="G119" s="160"/>
      <c r="H119" s="181"/>
      <c r="I119" s="161"/>
      <c r="J119" s="29" t="s">
        <v>9</v>
      </c>
      <c r="K119" s="116">
        <f>5008.87-5000</f>
        <v>8.8699999999998909</v>
      </c>
      <c r="L119" s="76">
        <v>8172.88</v>
      </c>
      <c r="M119" s="76">
        <v>7972.78</v>
      </c>
    </row>
    <row r="120" spans="1:13" s="1" customFormat="1" ht="24" customHeight="1" x14ac:dyDescent="0.3">
      <c r="A120" s="158"/>
      <c r="B120" s="167"/>
      <c r="C120" s="158"/>
      <c r="D120" s="157" t="s">
        <v>76</v>
      </c>
      <c r="E120" s="158"/>
      <c r="F120" s="163" t="s">
        <v>77</v>
      </c>
      <c r="G120" s="163">
        <v>2025</v>
      </c>
      <c r="H120" s="190">
        <f>I120+K120+L120+M120</f>
        <v>6873.37</v>
      </c>
      <c r="I120" s="190">
        <v>0</v>
      </c>
      <c r="J120" s="29" t="s">
        <v>7</v>
      </c>
      <c r="K120" s="135">
        <f>K121</f>
        <v>6873.37</v>
      </c>
      <c r="L120" s="135">
        <f t="shared" ref="L120:M120" si="30">L121</f>
        <v>0</v>
      </c>
      <c r="M120" s="135">
        <f t="shared" si="30"/>
        <v>0</v>
      </c>
    </row>
    <row r="121" spans="1:13" s="1" customFormat="1" ht="38.4" customHeight="1" x14ac:dyDescent="0.3">
      <c r="A121" s="159"/>
      <c r="B121" s="168"/>
      <c r="C121" s="159"/>
      <c r="D121" s="159"/>
      <c r="E121" s="159"/>
      <c r="F121" s="164"/>
      <c r="G121" s="164"/>
      <c r="H121" s="192"/>
      <c r="I121" s="192"/>
      <c r="J121" s="29" t="s">
        <v>9</v>
      </c>
      <c r="K121" s="135">
        <v>6873.37</v>
      </c>
      <c r="L121" s="135">
        <v>0</v>
      </c>
      <c r="M121" s="135">
        <v>0</v>
      </c>
    </row>
    <row r="122" spans="1:13" s="8" customFormat="1" ht="15.75" customHeight="1" x14ac:dyDescent="0.3">
      <c r="A122" s="160" t="s">
        <v>349</v>
      </c>
      <c r="B122" s="166" t="s">
        <v>186</v>
      </c>
      <c r="C122" s="163" t="s">
        <v>278</v>
      </c>
      <c r="D122" s="125" t="s">
        <v>26</v>
      </c>
      <c r="E122" s="163" t="s">
        <v>10</v>
      </c>
      <c r="F122" s="160" t="s">
        <v>11</v>
      </c>
      <c r="G122" s="160" t="s">
        <v>82</v>
      </c>
      <c r="H122" s="161">
        <f>I122+K122+L122+M122</f>
        <v>86291.55</v>
      </c>
      <c r="I122" s="161">
        <v>0.55000000000000004</v>
      </c>
      <c r="J122" s="128" t="s">
        <v>7</v>
      </c>
      <c r="K122" s="129">
        <f>K123+K124</f>
        <v>86291</v>
      </c>
      <c r="L122" s="129">
        <f>L123+L124</f>
        <v>0</v>
      </c>
      <c r="M122" s="129">
        <f>M123+M124</f>
        <v>0</v>
      </c>
    </row>
    <row r="123" spans="1:13" s="8" customFormat="1" ht="15.6" x14ac:dyDescent="0.3">
      <c r="A123" s="160"/>
      <c r="B123" s="167"/>
      <c r="C123" s="165"/>
      <c r="D123" s="160" t="s">
        <v>14</v>
      </c>
      <c r="E123" s="165"/>
      <c r="F123" s="160"/>
      <c r="G123" s="160"/>
      <c r="H123" s="161"/>
      <c r="I123" s="161"/>
      <c r="J123" s="130" t="s">
        <v>8</v>
      </c>
      <c r="K123" s="129">
        <v>85428.09</v>
      </c>
      <c r="L123" s="129">
        <v>0</v>
      </c>
      <c r="M123" s="129">
        <v>0</v>
      </c>
    </row>
    <row r="124" spans="1:13" s="8" customFormat="1" ht="15.6" x14ac:dyDescent="0.3">
      <c r="A124" s="160"/>
      <c r="B124" s="168"/>
      <c r="C124" s="164"/>
      <c r="D124" s="160"/>
      <c r="E124" s="164"/>
      <c r="F124" s="160"/>
      <c r="G124" s="160"/>
      <c r="H124" s="161"/>
      <c r="I124" s="161"/>
      <c r="J124" s="130" t="s">
        <v>9</v>
      </c>
      <c r="K124" s="129">
        <v>862.91</v>
      </c>
      <c r="L124" s="129">
        <v>0</v>
      </c>
      <c r="M124" s="129">
        <v>0</v>
      </c>
    </row>
    <row r="125" spans="1:13" s="1" customFormat="1" ht="15" customHeight="1" x14ac:dyDescent="0.3">
      <c r="A125" s="157" t="s">
        <v>372</v>
      </c>
      <c r="B125" s="173" t="s">
        <v>86</v>
      </c>
      <c r="C125" s="157" t="s">
        <v>295</v>
      </c>
      <c r="D125" s="157" t="s">
        <v>26</v>
      </c>
      <c r="E125" s="157" t="s">
        <v>10</v>
      </c>
      <c r="F125" s="160" t="s">
        <v>18</v>
      </c>
      <c r="G125" s="163" t="s">
        <v>85</v>
      </c>
      <c r="H125" s="181">
        <f>I125+K125+L125+M125</f>
        <v>2700</v>
      </c>
      <c r="I125" s="161">
        <v>0</v>
      </c>
      <c r="J125" s="29" t="s">
        <v>7</v>
      </c>
      <c r="K125" s="129">
        <f t="shared" ref="K125:M125" si="31">K126</f>
        <v>2700</v>
      </c>
      <c r="L125" s="55">
        <f t="shared" si="31"/>
        <v>0</v>
      </c>
      <c r="M125" s="55">
        <f t="shared" si="31"/>
        <v>0</v>
      </c>
    </row>
    <row r="126" spans="1:13" s="1" customFormat="1" ht="32.25" customHeight="1" x14ac:dyDescent="0.3">
      <c r="A126" s="158"/>
      <c r="B126" s="186"/>
      <c r="C126" s="158"/>
      <c r="D126" s="159"/>
      <c r="E126" s="158"/>
      <c r="F126" s="160"/>
      <c r="G126" s="165"/>
      <c r="H126" s="172"/>
      <c r="I126" s="161"/>
      <c r="J126" s="29" t="s">
        <v>9</v>
      </c>
      <c r="K126" s="143">
        <v>2700</v>
      </c>
      <c r="L126" s="55">
        <v>0</v>
      </c>
      <c r="M126" s="55">
        <v>0</v>
      </c>
    </row>
    <row r="127" spans="1:13" s="1" customFormat="1" ht="15" customHeight="1" x14ac:dyDescent="0.3">
      <c r="A127" s="158"/>
      <c r="B127" s="186"/>
      <c r="C127" s="158"/>
      <c r="D127" s="160" t="s">
        <v>14</v>
      </c>
      <c r="E127" s="158"/>
      <c r="F127" s="160" t="s">
        <v>11</v>
      </c>
      <c r="G127" s="165"/>
      <c r="H127" s="181">
        <f>I127+K127+L127+M127</f>
        <v>3316.5499999999993</v>
      </c>
      <c r="I127" s="161">
        <v>0</v>
      </c>
      <c r="J127" s="29" t="s">
        <v>7</v>
      </c>
      <c r="K127" s="129">
        <f t="shared" ref="K127:M127" si="32">K128</f>
        <v>0</v>
      </c>
      <c r="L127" s="55">
        <f t="shared" si="32"/>
        <v>3316.5499999999993</v>
      </c>
      <c r="M127" s="55">
        <f t="shared" si="32"/>
        <v>0</v>
      </c>
    </row>
    <row r="128" spans="1:13" s="1" customFormat="1" ht="17.399999999999999" customHeight="1" x14ac:dyDescent="0.3">
      <c r="A128" s="159"/>
      <c r="B128" s="174"/>
      <c r="C128" s="159"/>
      <c r="D128" s="160"/>
      <c r="E128" s="159"/>
      <c r="F128" s="160"/>
      <c r="G128" s="164"/>
      <c r="H128" s="172"/>
      <c r="I128" s="161"/>
      <c r="J128" s="29" t="s">
        <v>9</v>
      </c>
      <c r="K128" s="129">
        <v>0</v>
      </c>
      <c r="L128" s="143">
        <f>28416.55-25100</f>
        <v>3316.5499999999993</v>
      </c>
      <c r="M128" s="55">
        <v>0</v>
      </c>
    </row>
    <row r="129" spans="1:13" s="1" customFormat="1" ht="22.5" customHeight="1" x14ac:dyDescent="0.3">
      <c r="A129" s="163" t="s">
        <v>373</v>
      </c>
      <c r="B129" s="166" t="s">
        <v>270</v>
      </c>
      <c r="C129" s="157" t="s">
        <v>219</v>
      </c>
      <c r="D129" s="157" t="s">
        <v>26</v>
      </c>
      <c r="E129" s="157" t="s">
        <v>10</v>
      </c>
      <c r="F129" s="163" t="s">
        <v>18</v>
      </c>
      <c r="G129" s="163" t="s">
        <v>80</v>
      </c>
      <c r="H129" s="181">
        <f>I129+K129+L129+M129</f>
        <v>23448.39</v>
      </c>
      <c r="I129" s="169">
        <v>3475.93</v>
      </c>
      <c r="J129" s="29" t="s">
        <v>7</v>
      </c>
      <c r="K129" s="117">
        <f>K130</f>
        <v>19972.46</v>
      </c>
      <c r="L129" s="99">
        <f t="shared" ref="L129:M129" si="33">L130</f>
        <v>0</v>
      </c>
      <c r="M129" s="99">
        <f t="shared" si="33"/>
        <v>0</v>
      </c>
    </row>
    <row r="130" spans="1:13" s="1" customFormat="1" ht="22.5" customHeight="1" x14ac:dyDescent="0.3">
      <c r="A130" s="165"/>
      <c r="B130" s="168"/>
      <c r="C130" s="158"/>
      <c r="D130" s="158"/>
      <c r="E130" s="158"/>
      <c r="F130" s="164"/>
      <c r="G130" s="165"/>
      <c r="H130" s="172"/>
      <c r="I130" s="170"/>
      <c r="J130" s="29" t="s">
        <v>9</v>
      </c>
      <c r="K130" s="117">
        <f>16790.73+3181.73</f>
        <v>19972.46</v>
      </c>
      <c r="L130" s="99">
        <v>0</v>
      </c>
      <c r="M130" s="99">
        <v>0</v>
      </c>
    </row>
    <row r="131" spans="1:13" s="1" customFormat="1" ht="15" customHeight="1" x14ac:dyDescent="0.3">
      <c r="A131" s="165"/>
      <c r="B131" s="166" t="s">
        <v>113</v>
      </c>
      <c r="C131" s="158"/>
      <c r="D131" s="159"/>
      <c r="E131" s="158"/>
      <c r="F131" s="163" t="s">
        <v>11</v>
      </c>
      <c r="G131" s="165"/>
      <c r="H131" s="190">
        <f>I131+K131+L131+M131</f>
        <v>389541.53</v>
      </c>
      <c r="I131" s="169">
        <v>1968.38</v>
      </c>
      <c r="J131" s="60" t="s">
        <v>7</v>
      </c>
      <c r="K131" s="117">
        <f>K133+K132</f>
        <v>238063.66</v>
      </c>
      <c r="L131" s="63">
        <f>L133</f>
        <v>149509.49</v>
      </c>
      <c r="M131" s="63">
        <f>M133</f>
        <v>0</v>
      </c>
    </row>
    <row r="132" spans="1:13" s="1" customFormat="1" ht="15" customHeight="1" x14ac:dyDescent="0.3">
      <c r="A132" s="165"/>
      <c r="B132" s="167"/>
      <c r="C132" s="158"/>
      <c r="D132" s="172" t="s">
        <v>14</v>
      </c>
      <c r="E132" s="158"/>
      <c r="F132" s="165"/>
      <c r="G132" s="165"/>
      <c r="H132" s="191"/>
      <c r="I132" s="176"/>
      <c r="J132" s="29" t="s">
        <v>8</v>
      </c>
      <c r="K132" s="143">
        <v>164579.67000000001</v>
      </c>
      <c r="L132" s="41">
        <v>0</v>
      </c>
      <c r="M132" s="41">
        <v>0</v>
      </c>
    </row>
    <row r="133" spans="1:13" s="1" customFormat="1" ht="22.5" customHeight="1" x14ac:dyDescent="0.3">
      <c r="A133" s="164"/>
      <c r="B133" s="168"/>
      <c r="C133" s="159"/>
      <c r="D133" s="172"/>
      <c r="E133" s="159"/>
      <c r="F133" s="164"/>
      <c r="G133" s="164"/>
      <c r="H133" s="192"/>
      <c r="I133" s="170"/>
      <c r="J133" s="29" t="s">
        <v>9</v>
      </c>
      <c r="K133" s="143">
        <f>90924.87+429.3-17870.18</f>
        <v>73483.989999999991</v>
      </c>
      <c r="L133" s="41">
        <v>149509.49</v>
      </c>
      <c r="M133" s="41">
        <v>0</v>
      </c>
    </row>
    <row r="134" spans="1:13" s="1" customFormat="1" ht="15" customHeight="1" x14ac:dyDescent="0.3">
      <c r="A134" s="172" t="s">
        <v>350</v>
      </c>
      <c r="B134" s="171" t="s">
        <v>187</v>
      </c>
      <c r="C134" s="172" t="s">
        <v>220</v>
      </c>
      <c r="D134" s="26" t="s">
        <v>26</v>
      </c>
      <c r="E134" s="172" t="s">
        <v>10</v>
      </c>
      <c r="F134" s="160" t="s">
        <v>11</v>
      </c>
      <c r="G134" s="160" t="s">
        <v>185</v>
      </c>
      <c r="H134" s="181">
        <f>I134+K134+L134+M134</f>
        <v>255703.73</v>
      </c>
      <c r="I134" s="161">
        <v>0</v>
      </c>
      <c r="J134" s="29" t="s">
        <v>7</v>
      </c>
      <c r="K134" s="116">
        <f>K136+K135</f>
        <v>250358.14</v>
      </c>
      <c r="L134" s="28">
        <f>L136+L135</f>
        <v>3474.61</v>
      </c>
      <c r="M134" s="55">
        <f>M136+M135</f>
        <v>1870.98</v>
      </c>
    </row>
    <row r="135" spans="1:13" s="1" customFormat="1" ht="15" customHeight="1" x14ac:dyDescent="0.3">
      <c r="A135" s="172"/>
      <c r="B135" s="171"/>
      <c r="C135" s="172"/>
      <c r="D135" s="172" t="s">
        <v>14</v>
      </c>
      <c r="E135" s="172"/>
      <c r="F135" s="160"/>
      <c r="G135" s="160"/>
      <c r="H135" s="181"/>
      <c r="I135" s="161"/>
      <c r="J135" s="29" t="s">
        <v>8</v>
      </c>
      <c r="K135" s="116">
        <v>0</v>
      </c>
      <c r="L135" s="83">
        <v>0</v>
      </c>
      <c r="M135" s="83">
        <v>0</v>
      </c>
    </row>
    <row r="136" spans="1:13" s="1" customFormat="1" ht="22.5" customHeight="1" x14ac:dyDescent="0.3">
      <c r="A136" s="172"/>
      <c r="B136" s="171"/>
      <c r="C136" s="172"/>
      <c r="D136" s="172"/>
      <c r="E136" s="172"/>
      <c r="F136" s="160"/>
      <c r="G136" s="160"/>
      <c r="H136" s="172"/>
      <c r="I136" s="161"/>
      <c r="J136" s="29" t="s">
        <v>9</v>
      </c>
      <c r="K136" s="116">
        <v>250358.14</v>
      </c>
      <c r="L136" s="55">
        <v>3474.61</v>
      </c>
      <c r="M136" s="55">
        <v>1870.98</v>
      </c>
    </row>
    <row r="137" spans="1:13" s="1" customFormat="1" ht="22.5" customHeight="1" x14ac:dyDescent="0.3">
      <c r="A137" s="157" t="s">
        <v>374</v>
      </c>
      <c r="B137" s="166" t="s">
        <v>47</v>
      </c>
      <c r="C137" s="157" t="s">
        <v>342</v>
      </c>
      <c r="D137" s="157" t="s">
        <v>26</v>
      </c>
      <c r="E137" s="157" t="s">
        <v>10</v>
      </c>
      <c r="F137" s="163" t="s">
        <v>18</v>
      </c>
      <c r="G137" s="163" t="s">
        <v>331</v>
      </c>
      <c r="H137" s="181">
        <f>I137+K137+L137+M137</f>
        <v>13920.759999999998</v>
      </c>
      <c r="I137" s="169">
        <v>3365.2</v>
      </c>
      <c r="J137" s="29" t="s">
        <v>7</v>
      </c>
      <c r="K137" s="116">
        <f>K138</f>
        <v>10555.56</v>
      </c>
      <c r="L137" s="100">
        <f t="shared" ref="L137:M137" si="34">L138</f>
        <v>0</v>
      </c>
      <c r="M137" s="100">
        <f t="shared" si="34"/>
        <v>0</v>
      </c>
    </row>
    <row r="138" spans="1:13" s="1" customFormat="1" ht="22.5" customHeight="1" x14ac:dyDescent="0.3">
      <c r="A138" s="158"/>
      <c r="B138" s="167"/>
      <c r="C138" s="158"/>
      <c r="D138" s="158"/>
      <c r="E138" s="158"/>
      <c r="F138" s="164"/>
      <c r="G138" s="165"/>
      <c r="H138" s="172"/>
      <c r="I138" s="170"/>
      <c r="J138" s="29" t="s">
        <v>9</v>
      </c>
      <c r="K138" s="116">
        <v>10555.56</v>
      </c>
      <c r="L138" s="55">
        <v>0</v>
      </c>
      <c r="M138" s="55">
        <v>0</v>
      </c>
    </row>
    <row r="139" spans="1:13" s="1" customFormat="1" ht="15" customHeight="1" x14ac:dyDescent="0.3">
      <c r="A139" s="158"/>
      <c r="B139" s="167"/>
      <c r="C139" s="158"/>
      <c r="D139" s="159"/>
      <c r="E139" s="158"/>
      <c r="F139" s="163" t="s">
        <v>11</v>
      </c>
      <c r="G139" s="165"/>
      <c r="H139" s="190">
        <f>I139+K139+L139+M139</f>
        <v>676.56</v>
      </c>
      <c r="I139" s="193">
        <v>0</v>
      </c>
      <c r="J139" s="7" t="s">
        <v>7</v>
      </c>
      <c r="K139" s="19">
        <f>K141</f>
        <v>676.56</v>
      </c>
      <c r="L139" s="7">
        <f>L141</f>
        <v>0</v>
      </c>
      <c r="M139" s="7">
        <f>M141</f>
        <v>0</v>
      </c>
    </row>
    <row r="140" spans="1:13" s="1" customFormat="1" ht="21.75" customHeight="1" x14ac:dyDescent="0.3">
      <c r="A140" s="158"/>
      <c r="B140" s="167"/>
      <c r="C140" s="158"/>
      <c r="D140" s="157" t="s">
        <v>14</v>
      </c>
      <c r="E140" s="158"/>
      <c r="F140" s="165"/>
      <c r="G140" s="165"/>
      <c r="H140" s="191"/>
      <c r="I140" s="200"/>
      <c r="J140" s="7" t="s">
        <v>8</v>
      </c>
      <c r="K140" s="19">
        <v>0</v>
      </c>
      <c r="L140" s="7">
        <v>0</v>
      </c>
      <c r="M140" s="7">
        <v>0</v>
      </c>
    </row>
    <row r="141" spans="1:13" s="1" customFormat="1" ht="20.25" customHeight="1" x14ac:dyDescent="0.3">
      <c r="A141" s="159"/>
      <c r="B141" s="168"/>
      <c r="C141" s="159"/>
      <c r="D141" s="159"/>
      <c r="E141" s="159"/>
      <c r="F141" s="164"/>
      <c r="G141" s="164"/>
      <c r="H141" s="192"/>
      <c r="I141" s="194"/>
      <c r="J141" s="62" t="s">
        <v>9</v>
      </c>
      <c r="K141" s="116">
        <f>2500-1823.44</f>
        <v>676.56</v>
      </c>
      <c r="L141" s="61">
        <v>0</v>
      </c>
      <c r="M141" s="55">
        <v>0</v>
      </c>
    </row>
    <row r="142" spans="1:13" s="8" customFormat="1" ht="15" customHeight="1" x14ac:dyDescent="0.3">
      <c r="A142" s="163" t="s">
        <v>375</v>
      </c>
      <c r="B142" s="166" t="s">
        <v>54</v>
      </c>
      <c r="C142" s="163" t="s">
        <v>321</v>
      </c>
      <c r="D142" s="21" t="s">
        <v>26</v>
      </c>
      <c r="E142" s="163" t="s">
        <v>10</v>
      </c>
      <c r="F142" s="160" t="s">
        <v>18</v>
      </c>
      <c r="G142" s="163" t="s">
        <v>283</v>
      </c>
      <c r="H142" s="161">
        <f>I142+K142+L142+M142</f>
        <v>0</v>
      </c>
      <c r="I142" s="161">
        <v>0</v>
      </c>
      <c r="J142" s="11" t="s">
        <v>7</v>
      </c>
      <c r="K142" s="116">
        <f>K144</f>
        <v>0</v>
      </c>
      <c r="L142" s="27">
        <f>L144</f>
        <v>0</v>
      </c>
      <c r="M142" s="27">
        <f>M144</f>
        <v>0</v>
      </c>
    </row>
    <row r="143" spans="1:13" s="8" customFormat="1" ht="15" customHeight="1" x14ac:dyDescent="0.3">
      <c r="A143" s="165"/>
      <c r="B143" s="167"/>
      <c r="C143" s="165"/>
      <c r="D143" s="163" t="s">
        <v>14</v>
      </c>
      <c r="E143" s="165"/>
      <c r="F143" s="160"/>
      <c r="G143" s="165"/>
      <c r="H143" s="161"/>
      <c r="I143" s="161"/>
      <c r="J143" s="11" t="s">
        <v>8</v>
      </c>
      <c r="K143" s="116">
        <v>0</v>
      </c>
      <c r="L143" s="27">
        <v>0</v>
      </c>
      <c r="M143" s="27">
        <v>0</v>
      </c>
    </row>
    <row r="144" spans="1:13" s="8" customFormat="1" ht="21.75" customHeight="1" x14ac:dyDescent="0.3">
      <c r="A144" s="165"/>
      <c r="B144" s="167"/>
      <c r="C144" s="165"/>
      <c r="D144" s="165"/>
      <c r="E144" s="165"/>
      <c r="F144" s="160"/>
      <c r="G144" s="165"/>
      <c r="H144" s="160"/>
      <c r="I144" s="161"/>
      <c r="J144" s="22" t="s">
        <v>9</v>
      </c>
      <c r="K144" s="116">
        <v>0</v>
      </c>
      <c r="L144" s="27">
        <v>0</v>
      </c>
      <c r="M144" s="27">
        <v>0</v>
      </c>
    </row>
    <row r="145" spans="1:13" s="1" customFormat="1" ht="17.25" customHeight="1" x14ac:dyDescent="0.3">
      <c r="A145" s="165"/>
      <c r="B145" s="167"/>
      <c r="C145" s="165"/>
      <c r="D145" s="165"/>
      <c r="E145" s="165"/>
      <c r="F145" s="163" t="s">
        <v>13</v>
      </c>
      <c r="G145" s="165"/>
      <c r="H145" s="181">
        <f>I145+K145+L145+M145</f>
        <v>4734.08</v>
      </c>
      <c r="I145" s="193">
        <v>0</v>
      </c>
      <c r="J145" s="9" t="s">
        <v>7</v>
      </c>
      <c r="K145" s="116">
        <f t="shared" ref="K145" si="35">K147</f>
        <v>0</v>
      </c>
      <c r="L145" s="50">
        <f>L147</f>
        <v>1840.62</v>
      </c>
      <c r="M145" s="50">
        <f>M147</f>
        <v>2893.46</v>
      </c>
    </row>
    <row r="146" spans="1:13" s="1" customFormat="1" ht="17.25" customHeight="1" x14ac:dyDescent="0.3">
      <c r="A146" s="165"/>
      <c r="B146" s="167"/>
      <c r="C146" s="165"/>
      <c r="D146" s="165"/>
      <c r="E146" s="165"/>
      <c r="F146" s="165"/>
      <c r="G146" s="165"/>
      <c r="H146" s="181"/>
      <c r="I146" s="200"/>
      <c r="J146" s="11" t="s">
        <v>8</v>
      </c>
      <c r="K146" s="116">
        <v>0</v>
      </c>
      <c r="L146" s="83">
        <v>0</v>
      </c>
      <c r="M146" s="83">
        <v>0</v>
      </c>
    </row>
    <row r="147" spans="1:13" s="1" customFormat="1" ht="16.5" customHeight="1" x14ac:dyDescent="0.3">
      <c r="A147" s="164"/>
      <c r="B147" s="168"/>
      <c r="C147" s="164"/>
      <c r="D147" s="164"/>
      <c r="E147" s="164"/>
      <c r="F147" s="164"/>
      <c r="G147" s="164"/>
      <c r="H147" s="172"/>
      <c r="I147" s="194"/>
      <c r="J147" s="48" t="s">
        <v>9</v>
      </c>
      <c r="K147" s="116">
        <v>0</v>
      </c>
      <c r="L147" s="49">
        <v>1840.62</v>
      </c>
      <c r="M147" s="50">
        <v>2893.46</v>
      </c>
    </row>
    <row r="148" spans="1:13" s="1" customFormat="1" ht="15.75" customHeight="1" x14ac:dyDescent="0.3">
      <c r="A148" s="163" t="s">
        <v>351</v>
      </c>
      <c r="B148" s="184" t="s">
        <v>271</v>
      </c>
      <c r="C148" s="160" t="s">
        <v>277</v>
      </c>
      <c r="D148" s="172" t="s">
        <v>26</v>
      </c>
      <c r="E148" s="172" t="s">
        <v>10</v>
      </c>
      <c r="F148" s="172" t="s">
        <v>11</v>
      </c>
      <c r="G148" s="160" t="s">
        <v>82</v>
      </c>
      <c r="H148" s="181">
        <f>I148+K148+L148+M148</f>
        <v>112503.04999999999</v>
      </c>
      <c r="I148" s="161">
        <v>77050.429999999993</v>
      </c>
      <c r="J148" s="29" t="s">
        <v>7</v>
      </c>
      <c r="K148" s="116">
        <f>K149+K150</f>
        <v>0</v>
      </c>
      <c r="L148" s="55">
        <f t="shared" ref="L148:M148" si="36">L149+L150</f>
        <v>35452.620000000003</v>
      </c>
      <c r="M148" s="55">
        <f t="shared" si="36"/>
        <v>0</v>
      </c>
    </row>
    <row r="149" spans="1:13" s="1" customFormat="1" ht="15.6" x14ac:dyDescent="0.3">
      <c r="A149" s="165"/>
      <c r="B149" s="184"/>
      <c r="C149" s="165"/>
      <c r="D149" s="172"/>
      <c r="E149" s="172"/>
      <c r="F149" s="172"/>
      <c r="G149" s="160"/>
      <c r="H149" s="172"/>
      <c r="I149" s="161"/>
      <c r="J149" s="105" t="s">
        <v>8</v>
      </c>
      <c r="K149" s="116">
        <v>0</v>
      </c>
      <c r="L149" s="55">
        <v>0</v>
      </c>
      <c r="M149" s="55">
        <v>0</v>
      </c>
    </row>
    <row r="150" spans="1:13" s="1" customFormat="1" ht="33.75" customHeight="1" x14ac:dyDescent="0.3">
      <c r="A150" s="165"/>
      <c r="B150" s="184"/>
      <c r="C150" s="164"/>
      <c r="D150" s="98" t="s">
        <v>14</v>
      </c>
      <c r="E150" s="172"/>
      <c r="F150" s="172"/>
      <c r="G150" s="160"/>
      <c r="H150" s="172"/>
      <c r="I150" s="161"/>
      <c r="J150" s="105" t="s">
        <v>9</v>
      </c>
      <c r="K150" s="143">
        <v>0</v>
      </c>
      <c r="L150" s="143">
        <v>35452.620000000003</v>
      </c>
      <c r="M150" s="55">
        <v>0</v>
      </c>
    </row>
    <row r="151" spans="1:13" s="1" customFormat="1" ht="15.75" customHeight="1" x14ac:dyDescent="0.3">
      <c r="A151" s="163" t="s">
        <v>376</v>
      </c>
      <c r="B151" s="184" t="s">
        <v>51</v>
      </c>
      <c r="C151" s="160" t="s">
        <v>277</v>
      </c>
      <c r="D151" s="172" t="s">
        <v>26</v>
      </c>
      <c r="E151" s="172" t="s">
        <v>10</v>
      </c>
      <c r="F151" s="160" t="s">
        <v>11</v>
      </c>
      <c r="G151" s="160">
        <v>2025</v>
      </c>
      <c r="H151" s="181">
        <f>I151+K151+L151+M151</f>
        <v>57443.360000000001</v>
      </c>
      <c r="I151" s="161">
        <v>0</v>
      </c>
      <c r="J151" s="84" t="s">
        <v>7</v>
      </c>
      <c r="K151" s="116">
        <f t="shared" ref="K151:M151" si="37">K152+K153</f>
        <v>57443.360000000001</v>
      </c>
      <c r="L151" s="27">
        <f t="shared" si="37"/>
        <v>0</v>
      </c>
      <c r="M151" s="27">
        <f t="shared" si="37"/>
        <v>0</v>
      </c>
    </row>
    <row r="152" spans="1:13" s="1" customFormat="1" ht="15.6" x14ac:dyDescent="0.3">
      <c r="A152" s="165"/>
      <c r="B152" s="184"/>
      <c r="C152" s="160"/>
      <c r="D152" s="172"/>
      <c r="E152" s="172"/>
      <c r="F152" s="160"/>
      <c r="G152" s="160"/>
      <c r="H152" s="172"/>
      <c r="I152" s="161"/>
      <c r="J152" s="84" t="s">
        <v>8</v>
      </c>
      <c r="K152" s="116">
        <v>28721.68</v>
      </c>
      <c r="L152" s="27">
        <v>0</v>
      </c>
      <c r="M152" s="27">
        <v>0</v>
      </c>
    </row>
    <row r="153" spans="1:13" s="1" customFormat="1" ht="33.75" customHeight="1" x14ac:dyDescent="0.3">
      <c r="A153" s="164"/>
      <c r="B153" s="184"/>
      <c r="C153" s="160"/>
      <c r="D153" s="26" t="s">
        <v>14</v>
      </c>
      <c r="E153" s="172"/>
      <c r="F153" s="160"/>
      <c r="G153" s="160"/>
      <c r="H153" s="172"/>
      <c r="I153" s="161"/>
      <c r="J153" s="84" t="s">
        <v>9</v>
      </c>
      <c r="K153" s="116">
        <v>28721.68</v>
      </c>
      <c r="L153" s="27">
        <v>0</v>
      </c>
      <c r="M153" s="27">
        <v>0</v>
      </c>
    </row>
    <row r="154" spans="1:13" s="8" customFormat="1" ht="15.75" customHeight="1" x14ac:dyDescent="0.3">
      <c r="A154" s="165" t="s">
        <v>352</v>
      </c>
      <c r="B154" s="167" t="s">
        <v>41</v>
      </c>
      <c r="C154" s="165" t="s">
        <v>293</v>
      </c>
      <c r="D154" s="24" t="s">
        <v>26</v>
      </c>
      <c r="E154" s="165" t="s">
        <v>10</v>
      </c>
      <c r="F154" s="164" t="s">
        <v>11</v>
      </c>
      <c r="G154" s="164" t="s">
        <v>16</v>
      </c>
      <c r="H154" s="170">
        <f>I154+K154+L154+M154</f>
        <v>121797.92000000001</v>
      </c>
      <c r="I154" s="170">
        <v>66157.850000000006</v>
      </c>
      <c r="J154" s="52" t="s">
        <v>7</v>
      </c>
      <c r="K154" s="118">
        <f>K155+K156</f>
        <v>55640.07</v>
      </c>
      <c r="L154" s="53">
        <f>L155+L156</f>
        <v>0</v>
      </c>
      <c r="M154" s="53">
        <f>M155+M156</f>
        <v>0</v>
      </c>
    </row>
    <row r="155" spans="1:13" s="8" customFormat="1" ht="15.6" x14ac:dyDescent="0.3">
      <c r="A155" s="165"/>
      <c r="B155" s="167"/>
      <c r="C155" s="165"/>
      <c r="D155" s="163" t="s">
        <v>14</v>
      </c>
      <c r="E155" s="165"/>
      <c r="F155" s="160"/>
      <c r="G155" s="160"/>
      <c r="H155" s="161"/>
      <c r="I155" s="161"/>
      <c r="J155" s="84" t="s">
        <v>8</v>
      </c>
      <c r="K155" s="116">
        <v>54514.42</v>
      </c>
      <c r="L155" s="27">
        <v>0</v>
      </c>
      <c r="M155" s="27">
        <v>0</v>
      </c>
    </row>
    <row r="156" spans="1:13" s="8" customFormat="1" ht="15.6" x14ac:dyDescent="0.3">
      <c r="A156" s="164"/>
      <c r="B156" s="168"/>
      <c r="C156" s="164"/>
      <c r="D156" s="164"/>
      <c r="E156" s="164"/>
      <c r="F156" s="160"/>
      <c r="G156" s="160"/>
      <c r="H156" s="161"/>
      <c r="I156" s="161"/>
      <c r="J156" s="84" t="s">
        <v>9</v>
      </c>
      <c r="K156" s="116">
        <v>1125.6500000000001</v>
      </c>
      <c r="L156" s="27">
        <v>0</v>
      </c>
      <c r="M156" s="27">
        <v>0</v>
      </c>
    </row>
    <row r="157" spans="1:13" s="8" customFormat="1" ht="21" customHeight="1" x14ac:dyDescent="0.3">
      <c r="A157" s="163" t="s">
        <v>353</v>
      </c>
      <c r="B157" s="166" t="s">
        <v>98</v>
      </c>
      <c r="C157" s="163" t="s">
        <v>284</v>
      </c>
      <c r="D157" s="163" t="s">
        <v>26</v>
      </c>
      <c r="E157" s="163" t="s">
        <v>10</v>
      </c>
      <c r="F157" s="163" t="s">
        <v>18</v>
      </c>
      <c r="G157" s="163" t="s">
        <v>142</v>
      </c>
      <c r="H157" s="169">
        <f>I157+K157+L157+M157</f>
        <v>8246.5499999999993</v>
      </c>
      <c r="I157" s="169">
        <v>37.799999999999997</v>
      </c>
      <c r="J157" s="103" t="s">
        <v>7</v>
      </c>
      <c r="K157" s="116">
        <f>K159+K158</f>
        <v>8208.75</v>
      </c>
      <c r="L157" s="102">
        <f t="shared" ref="L157:M157" si="38">L159</f>
        <v>0</v>
      </c>
      <c r="M157" s="102">
        <f t="shared" si="38"/>
        <v>0</v>
      </c>
    </row>
    <row r="158" spans="1:13" s="8" customFormat="1" ht="18.600000000000001" customHeight="1" x14ac:dyDescent="0.3">
      <c r="A158" s="165"/>
      <c r="B158" s="167"/>
      <c r="C158" s="165"/>
      <c r="D158" s="165"/>
      <c r="E158" s="165"/>
      <c r="F158" s="165"/>
      <c r="G158" s="165"/>
      <c r="H158" s="176"/>
      <c r="I158" s="176"/>
      <c r="J158" s="105" t="s">
        <v>8</v>
      </c>
      <c r="K158" s="123">
        <v>8126.66</v>
      </c>
      <c r="L158" s="104">
        <v>0</v>
      </c>
      <c r="M158" s="104">
        <v>0</v>
      </c>
    </row>
    <row r="159" spans="1:13" s="8" customFormat="1" ht="15.6" x14ac:dyDescent="0.3">
      <c r="A159" s="165"/>
      <c r="B159" s="167"/>
      <c r="C159" s="165"/>
      <c r="D159" s="165"/>
      <c r="E159" s="165"/>
      <c r="F159" s="164"/>
      <c r="G159" s="165"/>
      <c r="H159" s="170"/>
      <c r="I159" s="170"/>
      <c r="J159" s="103" t="s">
        <v>9</v>
      </c>
      <c r="K159" s="116">
        <v>82.09</v>
      </c>
      <c r="L159" s="102">
        <v>0</v>
      </c>
      <c r="M159" s="102">
        <v>0</v>
      </c>
    </row>
    <row r="160" spans="1:13" s="8" customFormat="1" ht="15.75" customHeight="1" x14ac:dyDescent="0.3">
      <c r="A160" s="165"/>
      <c r="B160" s="167"/>
      <c r="C160" s="165"/>
      <c r="D160" s="164"/>
      <c r="E160" s="165"/>
      <c r="F160" s="163" t="s">
        <v>11</v>
      </c>
      <c r="G160" s="165"/>
      <c r="H160" s="190">
        <f>I160+K160+L160+M160</f>
        <v>3968.56</v>
      </c>
      <c r="I160" s="193">
        <v>0</v>
      </c>
      <c r="J160" s="7" t="s">
        <v>7</v>
      </c>
      <c r="K160" s="19">
        <f>K162</f>
        <v>0</v>
      </c>
      <c r="L160" s="7">
        <v>2550</v>
      </c>
      <c r="M160" s="7">
        <f>M162</f>
        <v>1418.56</v>
      </c>
    </row>
    <row r="161" spans="1:13" s="1" customFormat="1" ht="17.25" customHeight="1" x14ac:dyDescent="0.3">
      <c r="A161" s="165"/>
      <c r="B161" s="167"/>
      <c r="C161" s="165"/>
      <c r="D161" s="165" t="s">
        <v>14</v>
      </c>
      <c r="E161" s="165"/>
      <c r="F161" s="165"/>
      <c r="G161" s="165"/>
      <c r="H161" s="191"/>
      <c r="I161" s="200"/>
      <c r="J161" s="7" t="s">
        <v>8</v>
      </c>
      <c r="K161" s="19">
        <v>0</v>
      </c>
      <c r="L161" s="7">
        <v>0</v>
      </c>
      <c r="M161" s="7">
        <v>0</v>
      </c>
    </row>
    <row r="162" spans="1:13" s="1" customFormat="1" ht="16.5" customHeight="1" x14ac:dyDescent="0.3">
      <c r="A162" s="164"/>
      <c r="B162" s="168"/>
      <c r="C162" s="164"/>
      <c r="D162" s="164"/>
      <c r="E162" s="164"/>
      <c r="F162" s="164"/>
      <c r="G162" s="164"/>
      <c r="H162" s="192"/>
      <c r="I162" s="194"/>
      <c r="J162" s="62" t="s">
        <v>9</v>
      </c>
      <c r="K162" s="116">
        <v>0</v>
      </c>
      <c r="L162" s="61">
        <v>2550</v>
      </c>
      <c r="M162" s="55">
        <v>1418.56</v>
      </c>
    </row>
    <row r="163" spans="1:13" s="8" customFormat="1" ht="15.75" customHeight="1" x14ac:dyDescent="0.3">
      <c r="A163" s="163" t="s">
        <v>377</v>
      </c>
      <c r="B163" s="166" t="s">
        <v>290</v>
      </c>
      <c r="C163" s="163" t="s">
        <v>314</v>
      </c>
      <c r="D163" s="121" t="s">
        <v>26</v>
      </c>
      <c r="E163" s="163" t="s">
        <v>10</v>
      </c>
      <c r="F163" s="160" t="s">
        <v>11</v>
      </c>
      <c r="G163" s="160" t="s">
        <v>16</v>
      </c>
      <c r="H163" s="161">
        <f>I163+K163+L163+M163</f>
        <v>169397.72</v>
      </c>
      <c r="I163" s="161">
        <v>169375.32</v>
      </c>
      <c r="J163" s="122" t="s">
        <v>7</v>
      </c>
      <c r="K163" s="123">
        <f>K164</f>
        <v>22.4</v>
      </c>
      <c r="L163" s="123">
        <f>L164</f>
        <v>0</v>
      </c>
      <c r="M163" s="123">
        <f>M164</f>
        <v>0</v>
      </c>
    </row>
    <row r="164" spans="1:13" s="8" customFormat="1" ht="30.75" customHeight="1" x14ac:dyDescent="0.3">
      <c r="A164" s="164"/>
      <c r="B164" s="168"/>
      <c r="C164" s="164"/>
      <c r="D164" s="121" t="s">
        <v>14</v>
      </c>
      <c r="E164" s="164"/>
      <c r="F164" s="160"/>
      <c r="G164" s="160"/>
      <c r="H164" s="161"/>
      <c r="I164" s="161"/>
      <c r="J164" s="124" t="s">
        <v>9</v>
      </c>
      <c r="K164" s="123">
        <v>22.4</v>
      </c>
      <c r="L164" s="123">
        <v>0</v>
      </c>
      <c r="M164" s="123">
        <v>0</v>
      </c>
    </row>
    <row r="165" spans="1:13" s="1" customFormat="1" ht="15.75" customHeight="1" x14ac:dyDescent="0.3">
      <c r="A165" s="157" t="s">
        <v>378</v>
      </c>
      <c r="B165" s="173" t="s">
        <v>114</v>
      </c>
      <c r="C165" s="163" t="s">
        <v>221</v>
      </c>
      <c r="D165" s="157" t="s">
        <v>26</v>
      </c>
      <c r="E165" s="157" t="s">
        <v>10</v>
      </c>
      <c r="F165" s="160" t="s">
        <v>18</v>
      </c>
      <c r="G165" s="163" t="s">
        <v>276</v>
      </c>
      <c r="H165" s="181">
        <f>I165+K165+L165+M165</f>
        <v>19859.400000000001</v>
      </c>
      <c r="I165" s="161">
        <v>0</v>
      </c>
      <c r="J165" s="29" t="s">
        <v>7</v>
      </c>
      <c r="K165" s="116">
        <f t="shared" ref="K165:M165" si="39">K166</f>
        <v>0</v>
      </c>
      <c r="L165" s="55">
        <f t="shared" si="39"/>
        <v>0</v>
      </c>
      <c r="M165" s="55">
        <f t="shared" si="39"/>
        <v>19859.400000000001</v>
      </c>
    </row>
    <row r="166" spans="1:13" s="1" customFormat="1" ht="32.25" customHeight="1" x14ac:dyDescent="0.3">
      <c r="A166" s="158"/>
      <c r="B166" s="186"/>
      <c r="C166" s="165"/>
      <c r="D166" s="158"/>
      <c r="E166" s="158"/>
      <c r="F166" s="160"/>
      <c r="G166" s="165"/>
      <c r="H166" s="172"/>
      <c r="I166" s="161"/>
      <c r="J166" s="29" t="s">
        <v>9</v>
      </c>
      <c r="K166" s="116">
        <v>0</v>
      </c>
      <c r="L166" s="55">
        <v>0</v>
      </c>
      <c r="M166" s="55">
        <v>19859.400000000001</v>
      </c>
    </row>
    <row r="167" spans="1:13" s="1" customFormat="1" ht="15.75" customHeight="1" x14ac:dyDescent="0.3">
      <c r="A167" s="158"/>
      <c r="B167" s="186"/>
      <c r="C167" s="165"/>
      <c r="D167" s="159"/>
      <c r="E167" s="158"/>
      <c r="F167" s="160" t="s">
        <v>11</v>
      </c>
      <c r="G167" s="165"/>
      <c r="H167" s="181">
        <f>I167+K167+L167+M167</f>
        <v>7089.27</v>
      </c>
      <c r="I167" s="161">
        <v>0</v>
      </c>
      <c r="J167" s="29" t="s">
        <v>7</v>
      </c>
      <c r="K167" s="116">
        <f>K169</f>
        <v>0</v>
      </c>
      <c r="L167" s="55">
        <f>L169</f>
        <v>0</v>
      </c>
      <c r="M167" s="55">
        <f>M169</f>
        <v>7089.27</v>
      </c>
    </row>
    <row r="168" spans="1:13" s="1" customFormat="1" ht="15.75" customHeight="1" x14ac:dyDescent="0.3">
      <c r="A168" s="158"/>
      <c r="B168" s="186"/>
      <c r="C168" s="165"/>
      <c r="D168" s="157" t="s">
        <v>14</v>
      </c>
      <c r="E168" s="158"/>
      <c r="F168" s="160"/>
      <c r="G168" s="165"/>
      <c r="H168" s="181"/>
      <c r="I168" s="161"/>
      <c r="J168" s="29" t="s">
        <v>8</v>
      </c>
      <c r="K168" s="116">
        <v>0</v>
      </c>
      <c r="L168" s="55">
        <v>0</v>
      </c>
      <c r="M168" s="55">
        <v>0</v>
      </c>
    </row>
    <row r="169" spans="1:13" s="1" customFormat="1" ht="18" customHeight="1" x14ac:dyDescent="0.3">
      <c r="A169" s="159"/>
      <c r="B169" s="174"/>
      <c r="C169" s="164"/>
      <c r="D169" s="159"/>
      <c r="E169" s="159"/>
      <c r="F169" s="160"/>
      <c r="G169" s="164"/>
      <c r="H169" s="172"/>
      <c r="I169" s="161"/>
      <c r="J169" s="29" t="s">
        <v>9</v>
      </c>
      <c r="K169" s="116">
        <v>0</v>
      </c>
      <c r="L169" s="55">
        <v>0</v>
      </c>
      <c r="M169" s="55">
        <v>7089.27</v>
      </c>
    </row>
    <row r="170" spans="1:13" s="8" customFormat="1" ht="15" hidden="1" customHeight="1" x14ac:dyDescent="0.3">
      <c r="A170" s="163" t="s">
        <v>354</v>
      </c>
      <c r="B170" s="166" t="s">
        <v>15</v>
      </c>
      <c r="C170" s="163" t="s">
        <v>326</v>
      </c>
      <c r="D170" s="198" t="s">
        <v>76</v>
      </c>
      <c r="E170" s="163" t="s">
        <v>10</v>
      </c>
      <c r="F170" s="198" t="s">
        <v>77</v>
      </c>
      <c r="G170" s="163" t="s">
        <v>327</v>
      </c>
      <c r="H170" s="169">
        <f>I170+K172+L172+M172+K170</f>
        <v>11860919.899999999</v>
      </c>
      <c r="I170" s="169">
        <v>8152543.0099999998</v>
      </c>
      <c r="J170" s="73" t="s">
        <v>7</v>
      </c>
      <c r="K170" s="64">
        <f>K171</f>
        <v>0</v>
      </c>
      <c r="L170" s="64">
        <f t="shared" ref="L170:M170" si="40">L171</f>
        <v>0</v>
      </c>
      <c r="M170" s="64">
        <f t="shared" si="40"/>
        <v>0</v>
      </c>
    </row>
    <row r="171" spans="1:13" s="8" customFormat="1" ht="46.5" hidden="1" customHeight="1" x14ac:dyDescent="0.3">
      <c r="A171" s="165"/>
      <c r="B171" s="167"/>
      <c r="C171" s="165"/>
      <c r="D171" s="199"/>
      <c r="E171" s="165"/>
      <c r="F171" s="199"/>
      <c r="G171" s="165"/>
      <c r="H171" s="176"/>
      <c r="I171" s="176"/>
      <c r="J171" s="73" t="s">
        <v>8</v>
      </c>
      <c r="K171" s="64">
        <v>0</v>
      </c>
      <c r="L171" s="64">
        <v>0</v>
      </c>
      <c r="M171" s="64">
        <v>0</v>
      </c>
    </row>
    <row r="172" spans="1:13" s="8" customFormat="1" ht="18" customHeight="1" x14ac:dyDescent="0.3">
      <c r="A172" s="165"/>
      <c r="B172" s="167"/>
      <c r="C172" s="165"/>
      <c r="D172" s="160" t="s">
        <v>26</v>
      </c>
      <c r="E172" s="165"/>
      <c r="F172" s="163" t="s">
        <v>13</v>
      </c>
      <c r="G172" s="165"/>
      <c r="H172" s="176"/>
      <c r="I172" s="176"/>
      <c r="J172" s="171" t="s">
        <v>7</v>
      </c>
      <c r="K172" s="175">
        <f>K174+K175</f>
        <v>1191274.8999999999</v>
      </c>
      <c r="L172" s="175">
        <f t="shared" ref="L172:M172" si="41">L174+L175</f>
        <v>1039417.45</v>
      </c>
      <c r="M172" s="175">
        <f t="shared" si="41"/>
        <v>1477684.54</v>
      </c>
    </row>
    <row r="173" spans="1:13" s="8" customFormat="1" ht="18" customHeight="1" x14ac:dyDescent="0.3">
      <c r="A173" s="165"/>
      <c r="B173" s="167"/>
      <c r="C173" s="165"/>
      <c r="D173" s="160"/>
      <c r="E173" s="165"/>
      <c r="F173" s="165"/>
      <c r="G173" s="165"/>
      <c r="H173" s="176"/>
      <c r="I173" s="176"/>
      <c r="J173" s="171"/>
      <c r="K173" s="175"/>
      <c r="L173" s="175"/>
      <c r="M173" s="175"/>
    </row>
    <row r="174" spans="1:13" s="8" customFormat="1" ht="15.6" x14ac:dyDescent="0.3">
      <c r="A174" s="165"/>
      <c r="B174" s="167"/>
      <c r="C174" s="165"/>
      <c r="D174" s="163" t="s">
        <v>14</v>
      </c>
      <c r="E174" s="165"/>
      <c r="F174" s="165"/>
      <c r="G174" s="165"/>
      <c r="H174" s="176"/>
      <c r="I174" s="176"/>
      <c r="J174" s="30" t="s">
        <v>8</v>
      </c>
      <c r="K174" s="143">
        <v>1191155.73</v>
      </c>
      <c r="L174" s="61">
        <v>1039313.51</v>
      </c>
      <c r="M174" s="54">
        <v>1477536.77</v>
      </c>
    </row>
    <row r="175" spans="1:13" s="8" customFormat="1" ht="27" customHeight="1" x14ac:dyDescent="0.3">
      <c r="A175" s="164"/>
      <c r="B175" s="168"/>
      <c r="C175" s="164"/>
      <c r="D175" s="164"/>
      <c r="E175" s="164"/>
      <c r="F175" s="164"/>
      <c r="G175" s="164"/>
      <c r="H175" s="170"/>
      <c r="I175" s="170"/>
      <c r="J175" s="30" t="s">
        <v>9</v>
      </c>
      <c r="K175" s="143">
        <v>119.17</v>
      </c>
      <c r="L175" s="61">
        <v>103.94</v>
      </c>
      <c r="M175" s="42">
        <v>147.77000000000001</v>
      </c>
    </row>
    <row r="176" spans="1:13" s="1" customFormat="1" ht="15.75" customHeight="1" x14ac:dyDescent="0.3">
      <c r="A176" s="157" t="s">
        <v>355</v>
      </c>
      <c r="B176" s="173" t="s">
        <v>105</v>
      </c>
      <c r="C176" s="163" t="s">
        <v>222</v>
      </c>
      <c r="D176" s="157" t="s">
        <v>26</v>
      </c>
      <c r="E176" s="157" t="s">
        <v>10</v>
      </c>
      <c r="F176" s="160" t="s">
        <v>18</v>
      </c>
      <c r="G176" s="163" t="s">
        <v>273</v>
      </c>
      <c r="H176" s="181">
        <f>I176+K176+L176+M176</f>
        <v>4034.7700000000004</v>
      </c>
      <c r="I176" s="161">
        <v>0</v>
      </c>
      <c r="J176" s="29" t="s">
        <v>7</v>
      </c>
      <c r="K176" s="116">
        <f t="shared" ref="K176:L178" si="42">K177</f>
        <v>0</v>
      </c>
      <c r="L176" s="55">
        <f t="shared" si="42"/>
        <v>0</v>
      </c>
      <c r="M176" s="55">
        <f t="shared" ref="M176:M178" si="43">M177</f>
        <v>4034.7700000000004</v>
      </c>
    </row>
    <row r="177" spans="1:13" s="1" customFormat="1" ht="32.25" customHeight="1" x14ac:dyDescent="0.3">
      <c r="A177" s="158"/>
      <c r="B177" s="186"/>
      <c r="C177" s="165"/>
      <c r="D177" s="158"/>
      <c r="E177" s="158"/>
      <c r="F177" s="160"/>
      <c r="G177" s="165"/>
      <c r="H177" s="172"/>
      <c r="I177" s="161"/>
      <c r="J177" s="29" t="s">
        <v>9</v>
      </c>
      <c r="K177" s="116">
        <v>0</v>
      </c>
      <c r="L177" s="55">
        <v>0</v>
      </c>
      <c r="M177" s="144">
        <f>24834.77-20800</f>
        <v>4034.7700000000004</v>
      </c>
    </row>
    <row r="178" spans="1:13" s="1" customFormat="1" ht="15.75" customHeight="1" x14ac:dyDescent="0.3">
      <c r="A178" s="158"/>
      <c r="B178" s="186"/>
      <c r="C178" s="165"/>
      <c r="D178" s="159"/>
      <c r="E178" s="158"/>
      <c r="F178" s="160" t="s">
        <v>11</v>
      </c>
      <c r="G178" s="165"/>
      <c r="H178" s="181">
        <f>I178+K178+L178+M178</f>
        <v>1837.24</v>
      </c>
      <c r="I178" s="161">
        <v>0</v>
      </c>
      <c r="J178" s="29" t="s">
        <v>7</v>
      </c>
      <c r="K178" s="116">
        <f t="shared" si="42"/>
        <v>0</v>
      </c>
      <c r="L178" s="28">
        <f t="shared" si="42"/>
        <v>0</v>
      </c>
      <c r="M178" s="144">
        <f t="shared" si="43"/>
        <v>1837.24</v>
      </c>
    </row>
    <row r="179" spans="1:13" s="1" customFormat="1" ht="30" customHeight="1" x14ac:dyDescent="0.3">
      <c r="A179" s="159"/>
      <c r="B179" s="174"/>
      <c r="C179" s="164"/>
      <c r="D179" s="26" t="s">
        <v>14</v>
      </c>
      <c r="E179" s="159"/>
      <c r="F179" s="160"/>
      <c r="G179" s="164"/>
      <c r="H179" s="172"/>
      <c r="I179" s="161"/>
      <c r="J179" s="29" t="s">
        <v>9</v>
      </c>
      <c r="K179" s="116">
        <v>0</v>
      </c>
      <c r="L179" s="28">
        <v>0</v>
      </c>
      <c r="M179" s="28">
        <v>1837.24</v>
      </c>
    </row>
    <row r="180" spans="1:13" s="1" customFormat="1" ht="14.25" customHeight="1" x14ac:dyDescent="0.3">
      <c r="A180" s="172" t="s">
        <v>379</v>
      </c>
      <c r="B180" s="171" t="s">
        <v>42</v>
      </c>
      <c r="C180" s="160" t="s">
        <v>223</v>
      </c>
      <c r="D180" s="26" t="s">
        <v>26</v>
      </c>
      <c r="E180" s="172" t="s">
        <v>10</v>
      </c>
      <c r="F180" s="160" t="s">
        <v>11</v>
      </c>
      <c r="G180" s="160" t="s">
        <v>87</v>
      </c>
      <c r="H180" s="161">
        <f>K180+L180+M180+I180</f>
        <v>232482.41</v>
      </c>
      <c r="I180" s="161">
        <v>56452.22</v>
      </c>
      <c r="J180" s="30" t="s">
        <v>7</v>
      </c>
      <c r="K180" s="116">
        <f>K181</f>
        <v>0</v>
      </c>
      <c r="L180" s="27">
        <f>L181</f>
        <v>176030.19</v>
      </c>
      <c r="M180" s="27">
        <f>M181</f>
        <v>0</v>
      </c>
    </row>
    <row r="181" spans="1:13" s="1" customFormat="1" ht="55.5" customHeight="1" x14ac:dyDescent="0.3">
      <c r="A181" s="172"/>
      <c r="B181" s="171"/>
      <c r="C181" s="160"/>
      <c r="D181" s="26" t="s">
        <v>14</v>
      </c>
      <c r="E181" s="172"/>
      <c r="F181" s="160"/>
      <c r="G181" s="160"/>
      <c r="H181" s="160"/>
      <c r="I181" s="161"/>
      <c r="J181" s="29" t="s">
        <v>9</v>
      </c>
      <c r="K181" s="116">
        <v>0</v>
      </c>
      <c r="L181" s="61">
        <v>176030.19</v>
      </c>
      <c r="M181" s="28">
        <v>0</v>
      </c>
    </row>
    <row r="182" spans="1:13" s="8" customFormat="1" ht="24.75" customHeight="1" x14ac:dyDescent="0.3">
      <c r="A182" s="163" t="s">
        <v>188</v>
      </c>
      <c r="B182" s="166" t="s">
        <v>259</v>
      </c>
      <c r="C182" s="163" t="s">
        <v>224</v>
      </c>
      <c r="D182" s="21" t="s">
        <v>26</v>
      </c>
      <c r="E182" s="163" t="s">
        <v>10</v>
      </c>
      <c r="F182" s="163" t="s">
        <v>18</v>
      </c>
      <c r="G182" s="163" t="s">
        <v>185</v>
      </c>
      <c r="H182" s="169">
        <f>I182+K182+L182+M182</f>
        <v>18943.07</v>
      </c>
      <c r="I182" s="169">
        <v>0</v>
      </c>
      <c r="J182" s="30" t="s">
        <v>7</v>
      </c>
      <c r="K182" s="116">
        <f>K183</f>
        <v>18943.07</v>
      </c>
      <c r="L182" s="83">
        <f t="shared" ref="L182:M182" si="44">L183</f>
        <v>0</v>
      </c>
      <c r="M182" s="83">
        <f t="shared" si="44"/>
        <v>0</v>
      </c>
    </row>
    <row r="183" spans="1:13" s="8" customFormat="1" ht="26.25" customHeight="1" x14ac:dyDescent="0.3">
      <c r="A183" s="165"/>
      <c r="B183" s="167"/>
      <c r="C183" s="165"/>
      <c r="D183" s="165" t="s">
        <v>14</v>
      </c>
      <c r="E183" s="165"/>
      <c r="F183" s="164"/>
      <c r="G183" s="165"/>
      <c r="H183" s="170"/>
      <c r="I183" s="170"/>
      <c r="J183" s="30" t="s">
        <v>9</v>
      </c>
      <c r="K183" s="131">
        <f>16005.22+2937.85</f>
        <v>18943.07</v>
      </c>
      <c r="L183" s="27">
        <v>0</v>
      </c>
      <c r="M183" s="27">
        <v>0</v>
      </c>
    </row>
    <row r="184" spans="1:13" s="1" customFormat="1" ht="17.25" customHeight="1" x14ac:dyDescent="0.3">
      <c r="A184" s="165"/>
      <c r="B184" s="167"/>
      <c r="C184" s="165"/>
      <c r="D184" s="165"/>
      <c r="E184" s="165"/>
      <c r="F184" s="163" t="s">
        <v>13</v>
      </c>
      <c r="G184" s="165"/>
      <c r="H184" s="181">
        <f>I184+K184+L184+M184</f>
        <v>3650.6</v>
      </c>
      <c r="I184" s="193">
        <v>0</v>
      </c>
      <c r="J184" s="9" t="s">
        <v>7</v>
      </c>
      <c r="K184" s="116">
        <f t="shared" ref="K184" si="45">K186</f>
        <v>0</v>
      </c>
      <c r="L184" s="50">
        <f>L186</f>
        <v>1782.52</v>
      </c>
      <c r="M184" s="50">
        <f>M186</f>
        <v>1868.08</v>
      </c>
    </row>
    <row r="185" spans="1:13" s="1" customFormat="1" ht="17.25" customHeight="1" x14ac:dyDescent="0.3">
      <c r="A185" s="165"/>
      <c r="B185" s="167"/>
      <c r="C185" s="165"/>
      <c r="D185" s="165"/>
      <c r="E185" s="165"/>
      <c r="F185" s="165"/>
      <c r="G185" s="165"/>
      <c r="H185" s="181"/>
      <c r="I185" s="200"/>
      <c r="J185" s="9" t="s">
        <v>8</v>
      </c>
      <c r="K185" s="116">
        <v>0</v>
      </c>
      <c r="L185" s="55">
        <v>0</v>
      </c>
      <c r="M185" s="55">
        <v>0</v>
      </c>
    </row>
    <row r="186" spans="1:13" s="1" customFormat="1" ht="16.5" customHeight="1" x14ac:dyDescent="0.3">
      <c r="A186" s="164"/>
      <c r="B186" s="168"/>
      <c r="C186" s="164"/>
      <c r="D186" s="164"/>
      <c r="E186" s="164"/>
      <c r="F186" s="164"/>
      <c r="G186" s="164"/>
      <c r="H186" s="172"/>
      <c r="I186" s="194"/>
      <c r="J186" s="48" t="s">
        <v>9</v>
      </c>
      <c r="K186" s="116">
        <v>0</v>
      </c>
      <c r="L186" s="49">
        <v>1782.52</v>
      </c>
      <c r="M186" s="50">
        <v>1868.08</v>
      </c>
    </row>
    <row r="187" spans="1:13" s="1" customFormat="1" ht="16.5" customHeight="1" x14ac:dyDescent="0.3">
      <c r="A187" s="163" t="s">
        <v>298</v>
      </c>
      <c r="B187" s="166" t="s">
        <v>260</v>
      </c>
      <c r="C187" s="163" t="s">
        <v>225</v>
      </c>
      <c r="D187" s="163" t="s">
        <v>26</v>
      </c>
      <c r="E187" s="163" t="s">
        <v>10</v>
      </c>
      <c r="F187" s="163" t="s">
        <v>18</v>
      </c>
      <c r="G187" s="163" t="s">
        <v>80</v>
      </c>
      <c r="H187" s="181">
        <f>I187+K187+L187+M187</f>
        <v>18117.71</v>
      </c>
      <c r="I187" s="169">
        <v>0</v>
      </c>
      <c r="J187" s="101" t="s">
        <v>7</v>
      </c>
      <c r="K187" s="116">
        <f>K188</f>
        <v>18117.71</v>
      </c>
      <c r="L187" s="55">
        <f t="shared" ref="L187:M187" si="46">L188</f>
        <v>0</v>
      </c>
      <c r="M187" s="55">
        <f t="shared" si="46"/>
        <v>0</v>
      </c>
    </row>
    <row r="188" spans="1:13" s="1" customFormat="1" ht="30" customHeight="1" x14ac:dyDescent="0.3">
      <c r="A188" s="165"/>
      <c r="B188" s="167"/>
      <c r="C188" s="165"/>
      <c r="D188" s="165"/>
      <c r="E188" s="165"/>
      <c r="F188" s="164"/>
      <c r="G188" s="165"/>
      <c r="H188" s="181"/>
      <c r="I188" s="170"/>
      <c r="J188" s="101" t="s">
        <v>9</v>
      </c>
      <c r="K188" s="116">
        <f>15500+2617.71</f>
        <v>18117.71</v>
      </c>
      <c r="L188" s="100">
        <v>0</v>
      </c>
      <c r="M188" s="55">
        <v>0</v>
      </c>
    </row>
    <row r="189" spans="1:13" s="8" customFormat="1" ht="21.75" customHeight="1" x14ac:dyDescent="0.3">
      <c r="A189" s="165"/>
      <c r="B189" s="167"/>
      <c r="C189" s="165"/>
      <c r="D189" s="164"/>
      <c r="E189" s="165"/>
      <c r="F189" s="163" t="s">
        <v>13</v>
      </c>
      <c r="G189" s="165"/>
      <c r="H189" s="190">
        <f>I189+K189+M189+L189</f>
        <v>2117.62</v>
      </c>
      <c r="I189" s="193">
        <v>0</v>
      </c>
      <c r="J189" s="9" t="s">
        <v>7</v>
      </c>
      <c r="K189" s="116">
        <f>K190+K191</f>
        <v>75.350000000000122</v>
      </c>
      <c r="L189" s="55">
        <f t="shared" ref="L189:M189" si="47">L190+L191</f>
        <v>2042.27</v>
      </c>
      <c r="M189" s="55">
        <f t="shared" si="47"/>
        <v>0</v>
      </c>
    </row>
    <row r="190" spans="1:13" s="1" customFormat="1" ht="17.25" customHeight="1" x14ac:dyDescent="0.3">
      <c r="A190" s="165"/>
      <c r="B190" s="167"/>
      <c r="C190" s="165"/>
      <c r="D190" s="165" t="s">
        <v>14</v>
      </c>
      <c r="E190" s="165"/>
      <c r="F190" s="165"/>
      <c r="G190" s="165"/>
      <c r="H190" s="191"/>
      <c r="I190" s="200"/>
      <c r="J190" s="9" t="s">
        <v>8</v>
      </c>
      <c r="K190" s="116">
        <v>0</v>
      </c>
      <c r="L190" s="50">
        <v>0</v>
      </c>
      <c r="M190" s="50">
        <v>0</v>
      </c>
    </row>
    <row r="191" spans="1:13" s="1" customFormat="1" ht="16.5" customHeight="1" x14ac:dyDescent="0.3">
      <c r="A191" s="164"/>
      <c r="B191" s="168"/>
      <c r="C191" s="164"/>
      <c r="D191" s="164"/>
      <c r="E191" s="164"/>
      <c r="F191" s="164"/>
      <c r="G191" s="164"/>
      <c r="H191" s="192"/>
      <c r="I191" s="194"/>
      <c r="J191" s="48" t="s">
        <v>9</v>
      </c>
      <c r="K191" s="116">
        <f>1948.73-1873.37-0.01</f>
        <v>75.350000000000122</v>
      </c>
      <c r="L191" s="55">
        <v>2042.27</v>
      </c>
      <c r="M191" s="50">
        <v>0</v>
      </c>
    </row>
    <row r="192" spans="1:13" s="1" customFormat="1" ht="31.5" customHeight="1" x14ac:dyDescent="0.3">
      <c r="A192" s="160" t="s">
        <v>299</v>
      </c>
      <c r="B192" s="184" t="s">
        <v>285</v>
      </c>
      <c r="C192" s="172" t="s">
        <v>224</v>
      </c>
      <c r="D192" s="106" t="s">
        <v>26</v>
      </c>
      <c r="E192" s="172" t="s">
        <v>10</v>
      </c>
      <c r="F192" s="157" t="s">
        <v>13</v>
      </c>
      <c r="G192" s="157" t="s">
        <v>286</v>
      </c>
      <c r="H192" s="190">
        <f>I192+K192+L192+M192</f>
        <v>409266.27</v>
      </c>
      <c r="I192" s="190">
        <v>409200.27</v>
      </c>
      <c r="J192" s="29" t="s">
        <v>7</v>
      </c>
      <c r="K192" s="116">
        <f>K193+K194</f>
        <v>66</v>
      </c>
      <c r="L192" s="55">
        <f t="shared" ref="L192:M192" si="48">L193+L194</f>
        <v>0</v>
      </c>
      <c r="M192" s="55">
        <f t="shared" si="48"/>
        <v>0</v>
      </c>
    </row>
    <row r="193" spans="1:13" s="1" customFormat="1" ht="16.5" customHeight="1" x14ac:dyDescent="0.3">
      <c r="A193" s="160"/>
      <c r="B193" s="184"/>
      <c r="C193" s="172"/>
      <c r="D193" s="172" t="s">
        <v>14</v>
      </c>
      <c r="E193" s="172"/>
      <c r="F193" s="158"/>
      <c r="G193" s="158"/>
      <c r="H193" s="191"/>
      <c r="I193" s="191"/>
      <c r="J193" s="107" t="s">
        <v>8</v>
      </c>
      <c r="K193" s="116">
        <v>0</v>
      </c>
      <c r="L193" s="55">
        <v>0</v>
      </c>
      <c r="M193" s="55">
        <v>0</v>
      </c>
    </row>
    <row r="194" spans="1:13" s="1" customFormat="1" ht="15.6" x14ac:dyDescent="0.3">
      <c r="A194" s="160"/>
      <c r="B194" s="184"/>
      <c r="C194" s="172"/>
      <c r="D194" s="172"/>
      <c r="E194" s="172"/>
      <c r="F194" s="159"/>
      <c r="G194" s="159"/>
      <c r="H194" s="192"/>
      <c r="I194" s="192"/>
      <c r="J194" s="29" t="s">
        <v>9</v>
      </c>
      <c r="K194" s="116">
        <f>74.26-8.26</f>
        <v>66</v>
      </c>
      <c r="L194" s="55">
        <v>0</v>
      </c>
      <c r="M194" s="55">
        <v>0</v>
      </c>
    </row>
    <row r="195" spans="1:13" s="1" customFormat="1" ht="15" customHeight="1" x14ac:dyDescent="0.3">
      <c r="A195" s="157" t="s">
        <v>300</v>
      </c>
      <c r="B195" s="166" t="s">
        <v>52</v>
      </c>
      <c r="C195" s="157" t="s">
        <v>322</v>
      </c>
      <c r="D195" s="26" t="s">
        <v>26</v>
      </c>
      <c r="E195" s="157" t="s">
        <v>10</v>
      </c>
      <c r="F195" s="160" t="s">
        <v>18</v>
      </c>
      <c r="G195" s="163" t="s">
        <v>287</v>
      </c>
      <c r="H195" s="181">
        <f>I195+K195+L195+M195</f>
        <v>432.27</v>
      </c>
      <c r="I195" s="161">
        <v>0</v>
      </c>
      <c r="J195" s="9" t="s">
        <v>7</v>
      </c>
      <c r="K195" s="116">
        <f>K197</f>
        <v>0</v>
      </c>
      <c r="L195" s="28">
        <f>L197</f>
        <v>0</v>
      </c>
      <c r="M195" s="28">
        <f>M197</f>
        <v>432.27</v>
      </c>
    </row>
    <row r="196" spans="1:13" s="1" customFormat="1" ht="15" customHeight="1" x14ac:dyDescent="0.3">
      <c r="A196" s="158"/>
      <c r="B196" s="167"/>
      <c r="C196" s="158"/>
      <c r="D196" s="157" t="s">
        <v>14</v>
      </c>
      <c r="E196" s="158"/>
      <c r="F196" s="160"/>
      <c r="G196" s="165"/>
      <c r="H196" s="181"/>
      <c r="I196" s="161"/>
      <c r="J196" s="9" t="s">
        <v>8</v>
      </c>
      <c r="K196" s="116">
        <v>0</v>
      </c>
      <c r="L196" s="28">
        <v>0</v>
      </c>
      <c r="M196" s="28">
        <v>0</v>
      </c>
    </row>
    <row r="197" spans="1:13" s="1" customFormat="1" ht="18.75" customHeight="1" x14ac:dyDescent="0.3">
      <c r="A197" s="158"/>
      <c r="B197" s="167"/>
      <c r="C197" s="158"/>
      <c r="D197" s="158"/>
      <c r="E197" s="158"/>
      <c r="F197" s="160"/>
      <c r="G197" s="165"/>
      <c r="H197" s="172"/>
      <c r="I197" s="161"/>
      <c r="J197" s="25" t="s">
        <v>9</v>
      </c>
      <c r="K197" s="116">
        <v>0</v>
      </c>
      <c r="L197" s="28">
        <v>0</v>
      </c>
      <c r="M197" s="61">
        <v>432.27</v>
      </c>
    </row>
    <row r="198" spans="1:13" s="1" customFormat="1" ht="15" customHeight="1" x14ac:dyDescent="0.3">
      <c r="A198" s="158"/>
      <c r="B198" s="167"/>
      <c r="C198" s="158"/>
      <c r="D198" s="158"/>
      <c r="E198" s="158"/>
      <c r="F198" s="160" t="s">
        <v>11</v>
      </c>
      <c r="G198" s="165"/>
      <c r="H198" s="181">
        <f>I198+K198+L198+M198</f>
        <v>3577.56</v>
      </c>
      <c r="I198" s="161">
        <v>0</v>
      </c>
      <c r="J198" s="9" t="s">
        <v>7</v>
      </c>
      <c r="K198" s="116">
        <f>K200</f>
        <v>0</v>
      </c>
      <c r="L198" s="55">
        <f>L200</f>
        <v>0</v>
      </c>
      <c r="M198" s="55">
        <f>M200</f>
        <v>3577.56</v>
      </c>
    </row>
    <row r="199" spans="1:13" s="1" customFormat="1" ht="15" customHeight="1" x14ac:dyDescent="0.3">
      <c r="A199" s="158"/>
      <c r="B199" s="167"/>
      <c r="C199" s="158"/>
      <c r="D199" s="158"/>
      <c r="E199" s="158"/>
      <c r="F199" s="160"/>
      <c r="G199" s="165"/>
      <c r="H199" s="181"/>
      <c r="I199" s="161"/>
      <c r="J199" s="9" t="s">
        <v>8</v>
      </c>
      <c r="K199" s="116">
        <v>0</v>
      </c>
      <c r="L199" s="55">
        <v>0</v>
      </c>
      <c r="M199" s="55">
        <v>0</v>
      </c>
    </row>
    <row r="200" spans="1:13" s="1" customFormat="1" ht="16.5" customHeight="1" x14ac:dyDescent="0.3">
      <c r="A200" s="159"/>
      <c r="B200" s="168"/>
      <c r="C200" s="159"/>
      <c r="D200" s="159"/>
      <c r="E200" s="159"/>
      <c r="F200" s="160"/>
      <c r="G200" s="164"/>
      <c r="H200" s="172"/>
      <c r="I200" s="161"/>
      <c r="J200" s="62" t="s">
        <v>9</v>
      </c>
      <c r="K200" s="116">
        <v>0</v>
      </c>
      <c r="L200" s="55">
        <v>0</v>
      </c>
      <c r="M200" s="61">
        <v>3577.56</v>
      </c>
    </row>
    <row r="201" spans="1:13" s="1" customFormat="1" ht="15" customHeight="1" x14ac:dyDescent="0.3">
      <c r="A201" s="157" t="s">
        <v>356</v>
      </c>
      <c r="B201" s="166" t="s">
        <v>78</v>
      </c>
      <c r="C201" s="157" t="s">
        <v>323</v>
      </c>
      <c r="D201" s="26" t="s">
        <v>26</v>
      </c>
      <c r="E201" s="157" t="s">
        <v>10</v>
      </c>
      <c r="F201" s="160" t="s">
        <v>18</v>
      </c>
      <c r="G201" s="163" t="s">
        <v>287</v>
      </c>
      <c r="H201" s="181">
        <f>I201+K201+L201+M201</f>
        <v>643.52</v>
      </c>
      <c r="I201" s="161">
        <v>0</v>
      </c>
      <c r="J201" s="9" t="s">
        <v>7</v>
      </c>
      <c r="K201" s="116">
        <f>K203</f>
        <v>0</v>
      </c>
      <c r="L201" s="28">
        <f>L203</f>
        <v>0</v>
      </c>
      <c r="M201" s="28">
        <f>M203</f>
        <v>643.52</v>
      </c>
    </row>
    <row r="202" spans="1:13" s="1" customFormat="1" ht="15" customHeight="1" x14ac:dyDescent="0.3">
      <c r="A202" s="158"/>
      <c r="B202" s="167"/>
      <c r="C202" s="158"/>
      <c r="D202" s="157" t="s">
        <v>14</v>
      </c>
      <c r="E202" s="158"/>
      <c r="F202" s="160"/>
      <c r="G202" s="165"/>
      <c r="H202" s="181"/>
      <c r="I202" s="161"/>
      <c r="J202" s="9" t="s">
        <v>8</v>
      </c>
      <c r="K202" s="116">
        <v>0</v>
      </c>
      <c r="L202" s="28">
        <v>0</v>
      </c>
      <c r="M202" s="28">
        <v>0</v>
      </c>
    </row>
    <row r="203" spans="1:13" s="1" customFormat="1" ht="19.5" customHeight="1" x14ac:dyDescent="0.3">
      <c r="A203" s="158"/>
      <c r="B203" s="167"/>
      <c r="C203" s="158"/>
      <c r="D203" s="158"/>
      <c r="E203" s="158"/>
      <c r="F203" s="160"/>
      <c r="G203" s="165"/>
      <c r="H203" s="172"/>
      <c r="I203" s="161"/>
      <c r="J203" s="25" t="s">
        <v>9</v>
      </c>
      <c r="K203" s="116">
        <v>0</v>
      </c>
      <c r="L203" s="28">
        <v>0</v>
      </c>
      <c r="M203" s="61">
        <v>643.52</v>
      </c>
    </row>
    <row r="204" spans="1:13" s="1" customFormat="1" ht="15" customHeight="1" x14ac:dyDescent="0.3">
      <c r="A204" s="158"/>
      <c r="B204" s="167"/>
      <c r="C204" s="158"/>
      <c r="D204" s="158"/>
      <c r="E204" s="158"/>
      <c r="F204" s="160" t="s">
        <v>13</v>
      </c>
      <c r="G204" s="165"/>
      <c r="H204" s="181">
        <f>I204+K204+L204+M204</f>
        <v>4463.07</v>
      </c>
      <c r="I204" s="161">
        <v>0</v>
      </c>
      <c r="J204" s="9" t="s">
        <v>7</v>
      </c>
      <c r="K204" s="116">
        <f>K206</f>
        <v>0</v>
      </c>
      <c r="L204" s="55">
        <f>L206</f>
        <v>0</v>
      </c>
      <c r="M204" s="55">
        <f>M206</f>
        <v>4463.07</v>
      </c>
    </row>
    <row r="205" spans="1:13" s="1" customFormat="1" ht="15" customHeight="1" x14ac:dyDescent="0.3">
      <c r="A205" s="158"/>
      <c r="B205" s="167"/>
      <c r="C205" s="158"/>
      <c r="D205" s="158"/>
      <c r="E205" s="158"/>
      <c r="F205" s="160"/>
      <c r="G205" s="165"/>
      <c r="H205" s="181"/>
      <c r="I205" s="161"/>
      <c r="J205" s="9" t="s">
        <v>8</v>
      </c>
      <c r="K205" s="116">
        <v>0</v>
      </c>
      <c r="L205" s="55">
        <v>0</v>
      </c>
      <c r="M205" s="55">
        <v>0</v>
      </c>
    </row>
    <row r="206" spans="1:13" s="1" customFormat="1" ht="17.25" customHeight="1" x14ac:dyDescent="0.3">
      <c r="A206" s="159"/>
      <c r="B206" s="168"/>
      <c r="C206" s="159"/>
      <c r="D206" s="159"/>
      <c r="E206" s="159"/>
      <c r="F206" s="160"/>
      <c r="G206" s="164"/>
      <c r="H206" s="172"/>
      <c r="I206" s="161"/>
      <c r="J206" s="62" t="s">
        <v>9</v>
      </c>
      <c r="K206" s="116">
        <v>0</v>
      </c>
      <c r="L206" s="55">
        <v>0</v>
      </c>
      <c r="M206" s="61">
        <v>4463.07</v>
      </c>
    </row>
    <row r="207" spans="1:13" s="8" customFormat="1" ht="15" customHeight="1" x14ac:dyDescent="0.3">
      <c r="A207" s="163" t="s">
        <v>380</v>
      </c>
      <c r="B207" s="166" t="s">
        <v>43</v>
      </c>
      <c r="C207" s="163" t="s">
        <v>226</v>
      </c>
      <c r="D207" s="163" t="s">
        <v>26</v>
      </c>
      <c r="E207" s="163" t="s">
        <v>10</v>
      </c>
      <c r="F207" s="163" t="s">
        <v>18</v>
      </c>
      <c r="G207" s="163" t="s">
        <v>83</v>
      </c>
      <c r="H207" s="190">
        <f>K207+L207+M207+I207</f>
        <v>24298.03</v>
      </c>
      <c r="I207" s="169">
        <v>0</v>
      </c>
      <c r="J207" s="11" t="s">
        <v>7</v>
      </c>
      <c r="K207" s="143">
        <f>K208</f>
        <v>24298.03</v>
      </c>
      <c r="L207" s="83">
        <f t="shared" ref="L207:M207" si="49">L208</f>
        <v>0</v>
      </c>
      <c r="M207" s="83">
        <f t="shared" si="49"/>
        <v>0</v>
      </c>
    </row>
    <row r="208" spans="1:13" s="1" customFormat="1" ht="31.5" customHeight="1" x14ac:dyDescent="0.3">
      <c r="A208" s="165"/>
      <c r="B208" s="167"/>
      <c r="C208" s="165"/>
      <c r="D208" s="165"/>
      <c r="E208" s="165"/>
      <c r="F208" s="164"/>
      <c r="G208" s="165"/>
      <c r="H208" s="192"/>
      <c r="I208" s="170"/>
      <c r="J208" s="68" t="s">
        <v>9</v>
      </c>
      <c r="K208" s="143">
        <f>21000+3298.03</f>
        <v>24298.03</v>
      </c>
      <c r="L208" s="71">
        <v>0</v>
      </c>
      <c r="M208" s="55">
        <v>0</v>
      </c>
    </row>
    <row r="209" spans="1:13" s="8" customFormat="1" ht="15" customHeight="1" x14ac:dyDescent="0.3">
      <c r="A209" s="165"/>
      <c r="B209" s="167"/>
      <c r="C209" s="165"/>
      <c r="D209" s="164"/>
      <c r="E209" s="165"/>
      <c r="F209" s="163" t="s">
        <v>13</v>
      </c>
      <c r="G209" s="165"/>
      <c r="H209" s="190">
        <f>K209+L209+M209</f>
        <v>6204.7899999999991</v>
      </c>
      <c r="I209" s="193">
        <v>0</v>
      </c>
      <c r="J209" s="11" t="s">
        <v>7</v>
      </c>
      <c r="K209" s="143">
        <f>K210+K211</f>
        <v>77.959999999999127</v>
      </c>
      <c r="L209" s="61">
        <f t="shared" ref="L209:M209" si="50">L210+L211</f>
        <v>6126.83</v>
      </c>
      <c r="M209" s="61">
        <f t="shared" si="50"/>
        <v>0</v>
      </c>
    </row>
    <row r="210" spans="1:13" s="1" customFormat="1" ht="17.25" customHeight="1" x14ac:dyDescent="0.3">
      <c r="A210" s="165"/>
      <c r="B210" s="167"/>
      <c r="C210" s="165"/>
      <c r="D210" s="165" t="s">
        <v>14</v>
      </c>
      <c r="E210" s="165"/>
      <c r="F210" s="165"/>
      <c r="G210" s="165"/>
      <c r="H210" s="191"/>
      <c r="I210" s="200"/>
      <c r="J210" s="9" t="s">
        <v>8</v>
      </c>
      <c r="K210" s="143">
        <v>0</v>
      </c>
      <c r="L210" s="50">
        <v>0</v>
      </c>
      <c r="M210" s="50">
        <v>0</v>
      </c>
    </row>
    <row r="211" spans="1:13" s="1" customFormat="1" ht="16.5" customHeight="1" x14ac:dyDescent="0.3">
      <c r="A211" s="164"/>
      <c r="B211" s="168"/>
      <c r="C211" s="164"/>
      <c r="D211" s="164"/>
      <c r="E211" s="164"/>
      <c r="F211" s="164"/>
      <c r="G211" s="164"/>
      <c r="H211" s="192"/>
      <c r="I211" s="194"/>
      <c r="J211" s="48" t="s">
        <v>9</v>
      </c>
      <c r="K211" s="143">
        <f>10077.96-10000</f>
        <v>77.959999999999127</v>
      </c>
      <c r="L211" s="49">
        <v>6126.83</v>
      </c>
      <c r="M211" s="50">
        <v>0</v>
      </c>
    </row>
    <row r="212" spans="1:13" s="8" customFormat="1" ht="15" customHeight="1" x14ac:dyDescent="0.3">
      <c r="A212" s="163" t="s">
        <v>381</v>
      </c>
      <c r="B212" s="166" t="s">
        <v>139</v>
      </c>
      <c r="C212" s="163" t="s">
        <v>227</v>
      </c>
      <c r="D212" s="21" t="s">
        <v>26</v>
      </c>
      <c r="E212" s="163" t="s">
        <v>10</v>
      </c>
      <c r="F212" s="160" t="s">
        <v>18</v>
      </c>
      <c r="G212" s="163" t="s">
        <v>261</v>
      </c>
      <c r="H212" s="161">
        <f>I212+K212+L212+M212</f>
        <v>346383.98</v>
      </c>
      <c r="I212" s="161">
        <v>183.42</v>
      </c>
      <c r="J212" s="11" t="s">
        <v>7</v>
      </c>
      <c r="K212" s="116">
        <f t="shared" ref="K212" si="51">K213</f>
        <v>64600.55999999999</v>
      </c>
      <c r="L212" s="27">
        <f>L213</f>
        <v>281600</v>
      </c>
      <c r="M212" s="27">
        <f>M213</f>
        <v>0</v>
      </c>
    </row>
    <row r="213" spans="1:13" s="8" customFormat="1" ht="31.5" customHeight="1" x14ac:dyDescent="0.3">
      <c r="A213" s="165"/>
      <c r="B213" s="167"/>
      <c r="C213" s="165"/>
      <c r="D213" s="165" t="s">
        <v>14</v>
      </c>
      <c r="E213" s="165"/>
      <c r="F213" s="160"/>
      <c r="G213" s="165"/>
      <c r="H213" s="160"/>
      <c r="I213" s="161"/>
      <c r="J213" s="22" t="s">
        <v>9</v>
      </c>
      <c r="K213" s="116">
        <f>176000-105600-2617.71-3181.73</f>
        <v>64600.55999999999</v>
      </c>
      <c r="L213" s="61">
        <f>176000+105600</f>
        <v>281600</v>
      </c>
      <c r="M213" s="61">
        <v>0</v>
      </c>
    </row>
    <row r="214" spans="1:13" s="8" customFormat="1" ht="15" customHeight="1" x14ac:dyDescent="0.3">
      <c r="A214" s="165"/>
      <c r="B214" s="167"/>
      <c r="C214" s="165"/>
      <c r="D214" s="165"/>
      <c r="E214" s="165"/>
      <c r="F214" s="160" t="s">
        <v>13</v>
      </c>
      <c r="G214" s="165"/>
      <c r="H214" s="161">
        <f>I214+K214+L214+M214</f>
        <v>447.19</v>
      </c>
      <c r="I214" s="161">
        <v>0</v>
      </c>
      <c r="J214" s="11" t="s">
        <v>7</v>
      </c>
      <c r="K214" s="116">
        <f t="shared" ref="K214" si="52">K216</f>
        <v>0</v>
      </c>
      <c r="L214" s="71">
        <f>L216</f>
        <v>0</v>
      </c>
      <c r="M214" s="71">
        <f>M216</f>
        <v>447.19</v>
      </c>
    </row>
    <row r="215" spans="1:13" s="8" customFormat="1" ht="15" customHeight="1" x14ac:dyDescent="0.3">
      <c r="A215" s="165"/>
      <c r="B215" s="167"/>
      <c r="C215" s="165"/>
      <c r="D215" s="165"/>
      <c r="E215" s="165"/>
      <c r="F215" s="160"/>
      <c r="G215" s="165"/>
      <c r="H215" s="161"/>
      <c r="I215" s="161"/>
      <c r="J215" s="11" t="s">
        <v>8</v>
      </c>
      <c r="K215" s="116">
        <v>0</v>
      </c>
      <c r="L215" s="71">
        <v>0</v>
      </c>
      <c r="M215" s="71">
        <v>0</v>
      </c>
    </row>
    <row r="216" spans="1:13" s="8" customFormat="1" ht="15.75" customHeight="1" x14ac:dyDescent="0.3">
      <c r="A216" s="164"/>
      <c r="B216" s="168"/>
      <c r="C216" s="164"/>
      <c r="D216" s="164"/>
      <c r="E216" s="164"/>
      <c r="F216" s="160"/>
      <c r="G216" s="164"/>
      <c r="H216" s="160"/>
      <c r="I216" s="161"/>
      <c r="J216" s="70" t="s">
        <v>9</v>
      </c>
      <c r="K216" s="116">
        <v>0</v>
      </c>
      <c r="L216" s="71">
        <v>0</v>
      </c>
      <c r="M216" s="71">
        <v>447.19</v>
      </c>
    </row>
    <row r="217" spans="1:13" s="8" customFormat="1" ht="15.75" customHeight="1" x14ac:dyDescent="0.3">
      <c r="A217" s="160" t="s">
        <v>147</v>
      </c>
      <c r="B217" s="171" t="s">
        <v>104</v>
      </c>
      <c r="C217" s="160" t="s">
        <v>324</v>
      </c>
      <c r="D217" s="160" t="s">
        <v>26</v>
      </c>
      <c r="E217" s="160" t="s">
        <v>10</v>
      </c>
      <c r="F217" s="160" t="s">
        <v>18</v>
      </c>
      <c r="G217" s="160">
        <v>2026</v>
      </c>
      <c r="H217" s="161">
        <f>I217+K217+L217+M217</f>
        <v>2321.9699999999998</v>
      </c>
      <c r="I217" s="161">
        <v>0</v>
      </c>
      <c r="J217" s="162" t="s">
        <v>7</v>
      </c>
      <c r="K217" s="175">
        <f t="shared" ref="K217:M217" si="53">K219</f>
        <v>0</v>
      </c>
      <c r="L217" s="175">
        <f t="shared" si="53"/>
        <v>2321.9699999999998</v>
      </c>
      <c r="M217" s="175">
        <f t="shared" si="53"/>
        <v>0</v>
      </c>
    </row>
    <row r="218" spans="1:13" s="8" customFormat="1" ht="15" customHeight="1" x14ac:dyDescent="0.3">
      <c r="A218" s="160"/>
      <c r="B218" s="171"/>
      <c r="C218" s="160"/>
      <c r="D218" s="160"/>
      <c r="E218" s="160"/>
      <c r="F218" s="160"/>
      <c r="G218" s="160"/>
      <c r="H218" s="160"/>
      <c r="I218" s="161"/>
      <c r="J218" s="162"/>
      <c r="K218" s="175"/>
      <c r="L218" s="175"/>
      <c r="M218" s="175"/>
    </row>
    <row r="219" spans="1:13" s="8" customFormat="1" ht="28.5" customHeight="1" x14ac:dyDescent="0.3">
      <c r="A219" s="160"/>
      <c r="B219" s="171"/>
      <c r="C219" s="160"/>
      <c r="D219" s="47" t="s">
        <v>14</v>
      </c>
      <c r="E219" s="160"/>
      <c r="F219" s="160"/>
      <c r="G219" s="160"/>
      <c r="H219" s="160"/>
      <c r="I219" s="161"/>
      <c r="J219" s="51" t="s">
        <v>9</v>
      </c>
      <c r="K219" s="116">
        <v>0</v>
      </c>
      <c r="L219" s="49">
        <v>2321.9699999999998</v>
      </c>
      <c r="M219" s="49">
        <v>0</v>
      </c>
    </row>
    <row r="220" spans="1:13" s="8" customFormat="1" ht="15.75" hidden="1" customHeight="1" x14ac:dyDescent="0.3">
      <c r="A220" s="160"/>
      <c r="B220" s="171" t="s">
        <v>99</v>
      </c>
      <c r="C220" s="160" t="s">
        <v>100</v>
      </c>
      <c r="D220" s="67" t="s">
        <v>24</v>
      </c>
      <c r="E220" s="160" t="s">
        <v>12</v>
      </c>
      <c r="F220" s="160" t="s">
        <v>97</v>
      </c>
      <c r="G220" s="182">
        <v>2026</v>
      </c>
      <c r="H220" s="161">
        <f>I220+K220+L220+M220</f>
        <v>0</v>
      </c>
      <c r="I220" s="183">
        <v>0</v>
      </c>
      <c r="J220" s="72" t="s">
        <v>7</v>
      </c>
      <c r="K220" s="19">
        <f>K221</f>
        <v>0</v>
      </c>
      <c r="L220" s="19">
        <f>L221</f>
        <v>0</v>
      </c>
      <c r="M220" s="19">
        <f>M221</f>
        <v>0</v>
      </c>
    </row>
    <row r="221" spans="1:13" s="8" customFormat="1" ht="38.25" hidden="1" customHeight="1" x14ac:dyDescent="0.3">
      <c r="A221" s="160"/>
      <c r="B221" s="171"/>
      <c r="C221" s="160"/>
      <c r="D221" s="67" t="s">
        <v>90</v>
      </c>
      <c r="E221" s="160"/>
      <c r="F221" s="160"/>
      <c r="G221" s="182"/>
      <c r="H221" s="160"/>
      <c r="I221" s="183"/>
      <c r="J221" s="72" t="s">
        <v>9</v>
      </c>
      <c r="K221" s="116">
        <v>0</v>
      </c>
      <c r="L221" s="71"/>
      <c r="M221" s="71">
        <v>0</v>
      </c>
    </row>
    <row r="222" spans="1:13" s="8" customFormat="1" ht="15.75" customHeight="1" x14ac:dyDescent="0.3">
      <c r="A222" s="163" t="s">
        <v>148</v>
      </c>
      <c r="B222" s="166" t="s">
        <v>332</v>
      </c>
      <c r="C222" s="163" t="s">
        <v>333</v>
      </c>
      <c r="D222" s="160" t="s">
        <v>26</v>
      </c>
      <c r="E222" s="163" t="s">
        <v>10</v>
      </c>
      <c r="F222" s="160" t="s">
        <v>18</v>
      </c>
      <c r="G222" s="163" t="s">
        <v>360</v>
      </c>
      <c r="H222" s="161">
        <f>I222+K222+L222+M222</f>
        <v>45900</v>
      </c>
      <c r="I222" s="161">
        <v>0</v>
      </c>
      <c r="J222" s="162" t="s">
        <v>7</v>
      </c>
      <c r="K222" s="175">
        <f t="shared" ref="K222:M222" si="54">K224</f>
        <v>0</v>
      </c>
      <c r="L222" s="175">
        <f t="shared" si="54"/>
        <v>25100</v>
      </c>
      <c r="M222" s="175">
        <f t="shared" si="54"/>
        <v>20800</v>
      </c>
    </row>
    <row r="223" spans="1:13" s="8" customFormat="1" ht="15" customHeight="1" x14ac:dyDescent="0.3">
      <c r="A223" s="165"/>
      <c r="B223" s="167"/>
      <c r="C223" s="165"/>
      <c r="D223" s="160"/>
      <c r="E223" s="165"/>
      <c r="F223" s="160"/>
      <c r="G223" s="165"/>
      <c r="H223" s="160"/>
      <c r="I223" s="161"/>
      <c r="J223" s="162"/>
      <c r="K223" s="175"/>
      <c r="L223" s="175"/>
      <c r="M223" s="175"/>
    </row>
    <row r="224" spans="1:13" s="8" customFormat="1" ht="28.5" customHeight="1" x14ac:dyDescent="0.3">
      <c r="A224" s="165"/>
      <c r="B224" s="167"/>
      <c r="C224" s="165"/>
      <c r="D224" s="163" t="s">
        <v>14</v>
      </c>
      <c r="E224" s="165"/>
      <c r="F224" s="160"/>
      <c r="G224" s="165"/>
      <c r="H224" s="160"/>
      <c r="I224" s="161"/>
      <c r="J224" s="133" t="s">
        <v>9</v>
      </c>
      <c r="K224" s="132">
        <v>0</v>
      </c>
      <c r="L224" s="132">
        <v>25100</v>
      </c>
      <c r="M224" s="132">
        <v>20800</v>
      </c>
    </row>
    <row r="225" spans="1:16" s="8" customFormat="1" ht="28.5" customHeight="1" x14ac:dyDescent="0.3">
      <c r="A225" s="165"/>
      <c r="B225" s="167"/>
      <c r="C225" s="165"/>
      <c r="D225" s="165"/>
      <c r="E225" s="165"/>
      <c r="F225" s="163" t="s">
        <v>11</v>
      </c>
      <c r="G225" s="165"/>
      <c r="H225" s="169">
        <f>I225+K225+L225+M225</f>
        <v>254100</v>
      </c>
      <c r="I225" s="169">
        <v>0</v>
      </c>
      <c r="J225" s="162" t="s">
        <v>7</v>
      </c>
      <c r="K225" s="144">
        <f>K226</f>
        <v>0</v>
      </c>
      <c r="L225" s="144">
        <f t="shared" ref="L225:M225" si="55">L226</f>
        <v>0</v>
      </c>
      <c r="M225" s="144">
        <f t="shared" si="55"/>
        <v>254100</v>
      </c>
    </row>
    <row r="226" spans="1:16" s="8" customFormat="1" ht="28.5" customHeight="1" x14ac:dyDescent="0.3">
      <c r="A226" s="164"/>
      <c r="B226" s="168"/>
      <c r="C226" s="164"/>
      <c r="D226" s="164"/>
      <c r="E226" s="164"/>
      <c r="F226" s="164"/>
      <c r="G226" s="164"/>
      <c r="H226" s="164"/>
      <c r="I226" s="170"/>
      <c r="J226" s="162"/>
      <c r="K226" s="144">
        <v>0</v>
      </c>
      <c r="L226" s="144">
        <v>0</v>
      </c>
      <c r="M226" s="144">
        <v>254100</v>
      </c>
    </row>
    <row r="227" spans="1:16" s="6" customFormat="1" ht="15.75" customHeight="1" x14ac:dyDescent="0.3">
      <c r="A227" s="189" t="s">
        <v>202</v>
      </c>
      <c r="B227" s="189"/>
      <c r="C227" s="189"/>
      <c r="D227" s="189"/>
      <c r="E227" s="189"/>
      <c r="F227" s="189"/>
      <c r="G227" s="189"/>
      <c r="H227" s="189"/>
      <c r="I227" s="189"/>
      <c r="J227" s="5" t="s">
        <v>9</v>
      </c>
      <c r="K227" s="3">
        <f>K228+K229</f>
        <v>801363.0499999997</v>
      </c>
      <c r="L227" s="3">
        <f t="shared" ref="L227:M227" si="56">L228+L229</f>
        <v>744604.33999999973</v>
      </c>
      <c r="M227" s="3">
        <f t="shared" si="56"/>
        <v>201526.31</v>
      </c>
    </row>
    <row r="228" spans="1:16" s="6" customFormat="1" ht="15.6" x14ac:dyDescent="0.3">
      <c r="A228" s="189"/>
      <c r="B228" s="189"/>
      <c r="C228" s="189"/>
      <c r="D228" s="189"/>
      <c r="E228" s="189"/>
      <c r="F228" s="189"/>
      <c r="G228" s="189"/>
      <c r="H228" s="189"/>
      <c r="I228" s="189"/>
      <c r="J228" s="5" t="s">
        <v>8</v>
      </c>
      <c r="K228" s="3">
        <f>K290+K234+K231</f>
        <v>39813.72</v>
      </c>
      <c r="L228" s="3">
        <f>L290+L234+L231</f>
        <v>0</v>
      </c>
      <c r="M228" s="3">
        <f>M290+M234+M231</f>
        <v>0</v>
      </c>
    </row>
    <row r="229" spans="1:16" s="6" customFormat="1" ht="15.6" x14ac:dyDescent="0.3">
      <c r="A229" s="189"/>
      <c r="B229" s="189"/>
      <c r="C229" s="189"/>
      <c r="D229" s="189"/>
      <c r="E229" s="189"/>
      <c r="F229" s="189"/>
      <c r="G229" s="189"/>
      <c r="H229" s="189"/>
      <c r="I229" s="189"/>
      <c r="J229" s="5" t="s">
        <v>9</v>
      </c>
      <c r="K229" s="3">
        <f>K237+K239+K242+K235+K249+K251+K253+K255+K257+K259+K263+K265+K269+K271+K247+K273+K277+K291+K297+K301+K303+K305+K307+K309+K313+K316+K318+K320+K324+K326+K328+K330+K332+K334+K336+K338+K340+K342+K344+K346+K348+K350+K352+K354+K356+K358+K360+K362+K364+K366+K368+K370+K372+K374+K376+K391+K394+K293+K295+K281+K232+K244+K261+K287+K389+K283+K285+K267+K380+K382+K384</f>
        <v>761549.32999999973</v>
      </c>
      <c r="L229" s="3">
        <f t="shared" ref="L229:M229" si="57">L237+L239+L242+L235+L249+L251+L253+L255+L257+L259+L263+L265+L269+L271+L247+L273+L277+L291+L297+L301+L303+L305+L307+L309+L313+L316+L318+L320+L324+L326+L328+L330+L332+L334+L336+L338+L340+L342+L344+L346+L348+L350+L352+L354+L356+L358+L360+L362+L364+L366+L368+L370+L372+L374+L376+L391+L394+L293+L295+L281+L232+L244+L261+L287+L389+L283+L285+L267+L380+L382+L384</f>
        <v>744604.33999999973</v>
      </c>
      <c r="M229" s="3">
        <f t="shared" si="57"/>
        <v>201526.31</v>
      </c>
      <c r="N229" s="147"/>
      <c r="O229" s="147"/>
      <c r="P229" s="147"/>
    </row>
    <row r="230" spans="1:16" s="1" customFormat="1" ht="21.75" customHeight="1" x14ac:dyDescent="0.3">
      <c r="A230" s="160" t="s">
        <v>149</v>
      </c>
      <c r="B230" s="184" t="s">
        <v>294</v>
      </c>
      <c r="C230" s="160" t="s">
        <v>315</v>
      </c>
      <c r="D230" s="95" t="s">
        <v>24</v>
      </c>
      <c r="E230" s="172" t="s">
        <v>12</v>
      </c>
      <c r="F230" s="172" t="s">
        <v>11</v>
      </c>
      <c r="G230" s="160" t="s">
        <v>62</v>
      </c>
      <c r="H230" s="181">
        <f>I230+K230+L230+M230</f>
        <v>352100.29000000004</v>
      </c>
      <c r="I230" s="181">
        <v>350882.39</v>
      </c>
      <c r="J230" s="96" t="s">
        <v>7</v>
      </c>
      <c r="K230" s="116">
        <f>K231+K232</f>
        <v>1217.9000000000001</v>
      </c>
      <c r="L230" s="55">
        <f>L231+L232</f>
        <v>0</v>
      </c>
      <c r="M230" s="55">
        <f>M231+M232</f>
        <v>0</v>
      </c>
    </row>
    <row r="231" spans="1:16" s="1" customFormat="1" ht="23.25" customHeight="1" x14ac:dyDescent="0.3">
      <c r="A231" s="160"/>
      <c r="B231" s="184"/>
      <c r="C231" s="160"/>
      <c r="D231" s="172" t="s">
        <v>19</v>
      </c>
      <c r="E231" s="172"/>
      <c r="F231" s="172"/>
      <c r="G231" s="160"/>
      <c r="H231" s="181"/>
      <c r="I231" s="181"/>
      <c r="J231" s="29" t="s">
        <v>8</v>
      </c>
      <c r="K231" s="144">
        <v>1217.9000000000001</v>
      </c>
      <c r="L231" s="55">
        <v>0</v>
      </c>
      <c r="M231" s="55">
        <v>0</v>
      </c>
    </row>
    <row r="232" spans="1:16" s="1" customFormat="1" ht="22.2" customHeight="1" x14ac:dyDescent="0.3">
      <c r="A232" s="160"/>
      <c r="B232" s="184"/>
      <c r="C232" s="160"/>
      <c r="D232" s="172"/>
      <c r="E232" s="172"/>
      <c r="F232" s="172"/>
      <c r="G232" s="160"/>
      <c r="H232" s="181"/>
      <c r="I232" s="181"/>
      <c r="J232" s="96" t="s">
        <v>9</v>
      </c>
      <c r="K232" s="116">
        <v>0</v>
      </c>
      <c r="L232" s="55">
        <v>0</v>
      </c>
      <c r="M232" s="55">
        <v>0</v>
      </c>
    </row>
    <row r="233" spans="1:16" s="1" customFormat="1" ht="23.25" customHeight="1" x14ac:dyDescent="0.3">
      <c r="A233" s="160" t="s">
        <v>150</v>
      </c>
      <c r="B233" s="184" t="s">
        <v>53</v>
      </c>
      <c r="C233" s="160" t="s">
        <v>312</v>
      </c>
      <c r="D233" s="97" t="s">
        <v>24</v>
      </c>
      <c r="E233" s="172" t="s">
        <v>12</v>
      </c>
      <c r="F233" s="163" t="s">
        <v>13</v>
      </c>
      <c r="G233" s="163" t="s">
        <v>49</v>
      </c>
      <c r="H233" s="169">
        <f>I233+K233+L233+M233</f>
        <v>74561.179999999993</v>
      </c>
      <c r="I233" s="169">
        <v>4829.84</v>
      </c>
      <c r="J233" s="29" t="s">
        <v>7</v>
      </c>
      <c r="K233" s="116">
        <f>K235+K234</f>
        <v>69731.34</v>
      </c>
      <c r="L233" s="55">
        <f t="shared" ref="L233:M233" si="58">L235+L234</f>
        <v>0</v>
      </c>
      <c r="M233" s="55">
        <f t="shared" si="58"/>
        <v>0</v>
      </c>
    </row>
    <row r="234" spans="1:16" s="1" customFormat="1" ht="23.25" customHeight="1" x14ac:dyDescent="0.3">
      <c r="A234" s="160"/>
      <c r="B234" s="184"/>
      <c r="C234" s="160"/>
      <c r="D234" s="172" t="s">
        <v>19</v>
      </c>
      <c r="E234" s="172"/>
      <c r="F234" s="165"/>
      <c r="G234" s="165"/>
      <c r="H234" s="176"/>
      <c r="I234" s="176"/>
      <c r="J234" s="29" t="s">
        <v>8</v>
      </c>
      <c r="K234" s="144">
        <v>34865.67</v>
      </c>
      <c r="L234" s="55">
        <v>0</v>
      </c>
      <c r="M234" s="55">
        <v>0</v>
      </c>
    </row>
    <row r="235" spans="1:16" s="1" customFormat="1" ht="23.4" customHeight="1" x14ac:dyDescent="0.3">
      <c r="A235" s="160"/>
      <c r="B235" s="184"/>
      <c r="C235" s="160"/>
      <c r="D235" s="172"/>
      <c r="E235" s="172"/>
      <c r="F235" s="164"/>
      <c r="G235" s="164"/>
      <c r="H235" s="170"/>
      <c r="I235" s="170"/>
      <c r="J235" s="29" t="s">
        <v>9</v>
      </c>
      <c r="K235" s="116">
        <v>34865.67</v>
      </c>
      <c r="L235" s="28">
        <v>0</v>
      </c>
      <c r="M235" s="28">
        <v>0</v>
      </c>
    </row>
    <row r="236" spans="1:16" s="1" customFormat="1" ht="22.5" customHeight="1" x14ac:dyDescent="0.3">
      <c r="A236" s="172" t="s">
        <v>151</v>
      </c>
      <c r="B236" s="184" t="s">
        <v>44</v>
      </c>
      <c r="C236" s="160" t="s">
        <v>228</v>
      </c>
      <c r="D236" s="69" t="s">
        <v>24</v>
      </c>
      <c r="E236" s="172" t="s">
        <v>12</v>
      </c>
      <c r="F236" s="163" t="s">
        <v>11</v>
      </c>
      <c r="G236" s="163" t="s">
        <v>115</v>
      </c>
      <c r="H236" s="169">
        <f>I236+K236+L236+M236</f>
        <v>268760.63</v>
      </c>
      <c r="I236" s="169">
        <f>42997.52+6301</f>
        <v>49298.52</v>
      </c>
      <c r="J236" s="25" t="s">
        <v>7</v>
      </c>
      <c r="K236" s="116">
        <f>K237</f>
        <v>175569.7</v>
      </c>
      <c r="L236" s="55">
        <f t="shared" ref="L236:M236" si="59">L237</f>
        <v>43892.41</v>
      </c>
      <c r="M236" s="55">
        <f t="shared" si="59"/>
        <v>0</v>
      </c>
    </row>
    <row r="237" spans="1:16" s="1" customFormat="1" ht="44.25" customHeight="1" x14ac:dyDescent="0.3">
      <c r="A237" s="172"/>
      <c r="B237" s="184"/>
      <c r="C237" s="160"/>
      <c r="D237" s="81" t="s">
        <v>19</v>
      </c>
      <c r="E237" s="172"/>
      <c r="F237" s="164"/>
      <c r="G237" s="164"/>
      <c r="H237" s="170"/>
      <c r="I237" s="170"/>
      <c r="J237" s="30" t="s">
        <v>9</v>
      </c>
      <c r="K237" s="116">
        <v>175569.7</v>
      </c>
      <c r="L237" s="27">
        <v>43892.41</v>
      </c>
      <c r="M237" s="27">
        <v>0</v>
      </c>
    </row>
    <row r="238" spans="1:16" s="1" customFormat="1" ht="31.5" customHeight="1" x14ac:dyDescent="0.3">
      <c r="A238" s="172" t="s">
        <v>152</v>
      </c>
      <c r="B238" s="184" t="s">
        <v>58</v>
      </c>
      <c r="C238" s="160" t="s">
        <v>274</v>
      </c>
      <c r="D238" s="69" t="s">
        <v>24</v>
      </c>
      <c r="E238" s="172" t="s">
        <v>12</v>
      </c>
      <c r="F238" s="163" t="s">
        <v>13</v>
      </c>
      <c r="G238" s="163">
        <v>2026</v>
      </c>
      <c r="H238" s="169">
        <f>I238+K238+L238+M238</f>
        <v>33311.21</v>
      </c>
      <c r="I238" s="169">
        <v>0</v>
      </c>
      <c r="J238" s="25" t="s">
        <v>7</v>
      </c>
      <c r="K238" s="116">
        <f>K239</f>
        <v>0</v>
      </c>
      <c r="L238" s="55">
        <f t="shared" ref="L238:M238" si="60">L239</f>
        <v>33311.21</v>
      </c>
      <c r="M238" s="55">
        <f t="shared" si="60"/>
        <v>0</v>
      </c>
    </row>
    <row r="239" spans="1:16" s="1" customFormat="1" ht="48" customHeight="1" x14ac:dyDescent="0.3">
      <c r="A239" s="172"/>
      <c r="B239" s="184"/>
      <c r="C239" s="160"/>
      <c r="D239" s="81" t="s">
        <v>19</v>
      </c>
      <c r="E239" s="172"/>
      <c r="F239" s="164"/>
      <c r="G239" s="164"/>
      <c r="H239" s="170"/>
      <c r="I239" s="170"/>
      <c r="J239" s="29" t="s">
        <v>9</v>
      </c>
      <c r="K239" s="116">
        <v>0</v>
      </c>
      <c r="L239" s="110">
        <v>33311.21</v>
      </c>
      <c r="M239" s="28">
        <v>0</v>
      </c>
    </row>
    <row r="240" spans="1:16" s="8" customFormat="1" ht="15.75" customHeight="1" x14ac:dyDescent="0.3">
      <c r="A240" s="163" t="s">
        <v>153</v>
      </c>
      <c r="B240" s="166" t="s">
        <v>92</v>
      </c>
      <c r="C240" s="163" t="s">
        <v>328</v>
      </c>
      <c r="D240" s="21" t="s">
        <v>24</v>
      </c>
      <c r="E240" s="163" t="s">
        <v>12</v>
      </c>
      <c r="F240" s="163" t="s">
        <v>11</v>
      </c>
      <c r="G240" s="163" t="s">
        <v>62</v>
      </c>
      <c r="H240" s="169">
        <f>I240+K240+L240+M240</f>
        <v>45619.92</v>
      </c>
      <c r="I240" s="169">
        <v>5000</v>
      </c>
      <c r="J240" s="166" t="s">
        <v>7</v>
      </c>
      <c r="K240" s="177">
        <f>K242</f>
        <v>40619.919999999998</v>
      </c>
      <c r="L240" s="177">
        <f>L242</f>
        <v>0</v>
      </c>
      <c r="M240" s="177">
        <f>M242</f>
        <v>0</v>
      </c>
    </row>
    <row r="241" spans="1:13" s="8" customFormat="1" ht="22.5" customHeight="1" x14ac:dyDescent="0.3">
      <c r="A241" s="165"/>
      <c r="B241" s="167"/>
      <c r="C241" s="165"/>
      <c r="D241" s="165" t="s">
        <v>19</v>
      </c>
      <c r="E241" s="165"/>
      <c r="F241" s="165"/>
      <c r="G241" s="165"/>
      <c r="H241" s="176"/>
      <c r="I241" s="176"/>
      <c r="J241" s="168"/>
      <c r="K241" s="178"/>
      <c r="L241" s="178"/>
      <c r="M241" s="178"/>
    </row>
    <row r="242" spans="1:13" s="8" customFormat="1" ht="58.5" customHeight="1" x14ac:dyDescent="0.3">
      <c r="A242" s="164"/>
      <c r="B242" s="168"/>
      <c r="C242" s="164"/>
      <c r="D242" s="164"/>
      <c r="E242" s="164"/>
      <c r="F242" s="164"/>
      <c r="G242" s="164"/>
      <c r="H242" s="170"/>
      <c r="I242" s="170"/>
      <c r="J242" s="30" t="s">
        <v>9</v>
      </c>
      <c r="K242" s="116">
        <v>40619.919999999998</v>
      </c>
      <c r="L242" s="27">
        <v>0</v>
      </c>
      <c r="M242" s="27">
        <v>0</v>
      </c>
    </row>
    <row r="243" spans="1:13" s="8" customFormat="1" ht="21" customHeight="1" x14ac:dyDescent="0.3">
      <c r="A243" s="163" t="s">
        <v>154</v>
      </c>
      <c r="B243" s="166" t="s">
        <v>88</v>
      </c>
      <c r="C243" s="157" t="s">
        <v>234</v>
      </c>
      <c r="D243" s="163" t="s">
        <v>24</v>
      </c>
      <c r="E243" s="157" t="s">
        <v>12</v>
      </c>
      <c r="F243" s="163" t="s">
        <v>125</v>
      </c>
      <c r="G243" s="163" t="s">
        <v>62</v>
      </c>
      <c r="H243" s="169">
        <f>I243+K243+L243+M243</f>
        <v>1501.66</v>
      </c>
      <c r="I243" s="169">
        <v>1390</v>
      </c>
      <c r="J243" s="43" t="s">
        <v>7</v>
      </c>
      <c r="K243" s="117">
        <f>K244</f>
        <v>111.66</v>
      </c>
      <c r="L243" s="112">
        <f t="shared" ref="L243:M243" si="61">L244</f>
        <v>0</v>
      </c>
      <c r="M243" s="112">
        <f t="shared" si="61"/>
        <v>0</v>
      </c>
    </row>
    <row r="244" spans="1:13" s="8" customFormat="1" ht="42.6" customHeight="1" x14ac:dyDescent="0.3">
      <c r="A244" s="165"/>
      <c r="B244" s="167"/>
      <c r="C244" s="158"/>
      <c r="D244" s="164"/>
      <c r="E244" s="158"/>
      <c r="F244" s="164"/>
      <c r="G244" s="165"/>
      <c r="H244" s="170"/>
      <c r="I244" s="170"/>
      <c r="J244" s="43" t="s">
        <v>9</v>
      </c>
      <c r="K244" s="117">
        <v>111.66</v>
      </c>
      <c r="L244" s="112">
        <v>0</v>
      </c>
      <c r="M244" s="112">
        <v>0</v>
      </c>
    </row>
    <row r="245" spans="1:13" s="1" customFormat="1" ht="21.75" customHeight="1" x14ac:dyDescent="0.3">
      <c r="A245" s="165"/>
      <c r="B245" s="167"/>
      <c r="C245" s="158"/>
      <c r="D245" s="157" t="s">
        <v>19</v>
      </c>
      <c r="E245" s="158"/>
      <c r="F245" s="163" t="s">
        <v>11</v>
      </c>
      <c r="G245" s="165"/>
      <c r="H245" s="169">
        <f>I245+K245+L245+M245</f>
        <v>21257.87</v>
      </c>
      <c r="I245" s="169">
        <f>3032.96+1261.11</f>
        <v>4294.07</v>
      </c>
      <c r="J245" s="173" t="s">
        <v>7</v>
      </c>
      <c r="K245" s="177">
        <f>K247</f>
        <v>16963.8</v>
      </c>
      <c r="L245" s="179">
        <f>L247</f>
        <v>0</v>
      </c>
      <c r="M245" s="179">
        <f>M247</f>
        <v>0</v>
      </c>
    </row>
    <row r="246" spans="1:13" s="1" customFormat="1" ht="15.75" customHeight="1" x14ac:dyDescent="0.3">
      <c r="A246" s="165"/>
      <c r="B246" s="167"/>
      <c r="C246" s="158"/>
      <c r="D246" s="158"/>
      <c r="E246" s="158"/>
      <c r="F246" s="165"/>
      <c r="G246" s="165"/>
      <c r="H246" s="176"/>
      <c r="I246" s="176"/>
      <c r="J246" s="174"/>
      <c r="K246" s="178"/>
      <c r="L246" s="180"/>
      <c r="M246" s="180"/>
    </row>
    <row r="247" spans="1:13" s="1" customFormat="1" ht="18.600000000000001" customHeight="1" x14ac:dyDescent="0.3">
      <c r="A247" s="164"/>
      <c r="B247" s="168"/>
      <c r="C247" s="159"/>
      <c r="D247" s="159"/>
      <c r="E247" s="159"/>
      <c r="F247" s="164"/>
      <c r="G247" s="164"/>
      <c r="H247" s="170"/>
      <c r="I247" s="170"/>
      <c r="J247" s="29" t="s">
        <v>9</v>
      </c>
      <c r="K247" s="116">
        <v>16963.8</v>
      </c>
      <c r="L247" s="28">
        <v>0</v>
      </c>
      <c r="M247" s="28">
        <v>0</v>
      </c>
    </row>
    <row r="248" spans="1:13" s="1" customFormat="1" ht="30.75" customHeight="1" x14ac:dyDescent="0.3">
      <c r="A248" s="160" t="s">
        <v>155</v>
      </c>
      <c r="B248" s="171" t="s">
        <v>94</v>
      </c>
      <c r="C248" s="160" t="s">
        <v>329</v>
      </c>
      <c r="D248" s="69" t="s">
        <v>24</v>
      </c>
      <c r="E248" s="172" t="s">
        <v>12</v>
      </c>
      <c r="F248" s="163" t="s">
        <v>11</v>
      </c>
      <c r="G248" s="163" t="s">
        <v>83</v>
      </c>
      <c r="H248" s="169">
        <f>I248+K248+L248+M248</f>
        <v>145026.01</v>
      </c>
      <c r="I248" s="169">
        <f>5521.73+38652.06</f>
        <v>44173.789999999994</v>
      </c>
      <c r="J248" s="29" t="s">
        <v>7</v>
      </c>
      <c r="K248" s="116">
        <f>K249</f>
        <v>18796.550000000003</v>
      </c>
      <c r="L248" s="55">
        <f t="shared" ref="L248:M248" si="62">L249</f>
        <v>82055.67</v>
      </c>
      <c r="M248" s="55">
        <f t="shared" si="62"/>
        <v>0</v>
      </c>
    </row>
    <row r="249" spans="1:13" s="1" customFormat="1" ht="48.75" customHeight="1" x14ac:dyDescent="0.3">
      <c r="A249" s="160"/>
      <c r="B249" s="171"/>
      <c r="C249" s="160"/>
      <c r="D249" s="81" t="s">
        <v>19</v>
      </c>
      <c r="E249" s="172"/>
      <c r="F249" s="164"/>
      <c r="G249" s="164"/>
      <c r="H249" s="170"/>
      <c r="I249" s="170"/>
      <c r="J249" s="29" t="s">
        <v>9</v>
      </c>
      <c r="K249" s="116">
        <f>70596.55-51800</f>
        <v>18796.550000000003</v>
      </c>
      <c r="L249" s="46">
        <f>30255.67+51800</f>
        <v>82055.67</v>
      </c>
      <c r="M249" s="28">
        <v>0</v>
      </c>
    </row>
    <row r="250" spans="1:13" s="1" customFormat="1" ht="33.75" customHeight="1" x14ac:dyDescent="0.3">
      <c r="A250" s="160" t="s">
        <v>156</v>
      </c>
      <c r="B250" s="171" t="s">
        <v>116</v>
      </c>
      <c r="C250" s="160" t="s">
        <v>338</v>
      </c>
      <c r="D250" s="69" t="s">
        <v>24</v>
      </c>
      <c r="E250" s="172" t="s">
        <v>12</v>
      </c>
      <c r="F250" s="163" t="s">
        <v>11</v>
      </c>
      <c r="G250" s="163">
        <v>2025</v>
      </c>
      <c r="H250" s="169">
        <f>I250+K250+L250+M250</f>
        <v>19807.87</v>
      </c>
      <c r="I250" s="169">
        <v>0</v>
      </c>
      <c r="J250" s="29" t="s">
        <v>7</v>
      </c>
      <c r="K250" s="116">
        <f>K251</f>
        <v>19807.87</v>
      </c>
      <c r="L250" s="55">
        <f t="shared" ref="L250:M250" si="63">L251</f>
        <v>0</v>
      </c>
      <c r="M250" s="55">
        <f t="shared" si="63"/>
        <v>0</v>
      </c>
    </row>
    <row r="251" spans="1:13" s="1" customFormat="1" ht="51.75" customHeight="1" x14ac:dyDescent="0.3">
      <c r="A251" s="160"/>
      <c r="B251" s="171"/>
      <c r="C251" s="160"/>
      <c r="D251" s="81" t="s">
        <v>19</v>
      </c>
      <c r="E251" s="172"/>
      <c r="F251" s="164"/>
      <c r="G251" s="164"/>
      <c r="H251" s="170"/>
      <c r="I251" s="170"/>
      <c r="J251" s="29" t="s">
        <v>9</v>
      </c>
      <c r="K251" s="116">
        <f>17129.51+2678.36</f>
        <v>19807.87</v>
      </c>
      <c r="L251" s="71">
        <v>0</v>
      </c>
      <c r="M251" s="55">
        <v>0</v>
      </c>
    </row>
    <row r="252" spans="1:13" s="1" customFormat="1" ht="39.75" customHeight="1" x14ac:dyDescent="0.3">
      <c r="A252" s="160" t="s">
        <v>157</v>
      </c>
      <c r="B252" s="171" t="s">
        <v>118</v>
      </c>
      <c r="C252" s="160" t="s">
        <v>311</v>
      </c>
      <c r="D252" s="81" t="s">
        <v>24</v>
      </c>
      <c r="E252" s="172" t="s">
        <v>12</v>
      </c>
      <c r="F252" s="163" t="s">
        <v>11</v>
      </c>
      <c r="G252" s="163">
        <v>2025</v>
      </c>
      <c r="H252" s="169">
        <f>I252+K252+L252+M252</f>
        <v>11718.43</v>
      </c>
      <c r="I252" s="169">
        <v>0</v>
      </c>
      <c r="J252" s="29" t="s">
        <v>7</v>
      </c>
      <c r="K252" s="116">
        <f>K253</f>
        <v>11718.43</v>
      </c>
      <c r="L252" s="55">
        <f t="shared" ref="L252:M252" si="64">L253</f>
        <v>0</v>
      </c>
      <c r="M252" s="55">
        <f t="shared" si="64"/>
        <v>0</v>
      </c>
    </row>
    <row r="253" spans="1:13" s="1" customFormat="1" ht="45.75" customHeight="1" x14ac:dyDescent="0.3">
      <c r="A253" s="160"/>
      <c r="B253" s="171"/>
      <c r="C253" s="160"/>
      <c r="D253" s="81" t="s">
        <v>19</v>
      </c>
      <c r="E253" s="172"/>
      <c r="F253" s="164"/>
      <c r="G253" s="164"/>
      <c r="H253" s="170"/>
      <c r="I253" s="170"/>
      <c r="J253" s="29" t="s">
        <v>9</v>
      </c>
      <c r="K253" s="116">
        <v>11718.43</v>
      </c>
      <c r="L253" s="71">
        <v>0</v>
      </c>
      <c r="M253" s="55">
        <v>0</v>
      </c>
    </row>
    <row r="254" spans="1:13" s="1" customFormat="1" ht="30" customHeight="1" x14ac:dyDescent="0.3">
      <c r="A254" s="160" t="s">
        <v>158</v>
      </c>
      <c r="B254" s="171" t="s">
        <v>119</v>
      </c>
      <c r="C254" s="160" t="s">
        <v>337</v>
      </c>
      <c r="D254" s="81" t="s">
        <v>24</v>
      </c>
      <c r="E254" s="172" t="s">
        <v>12</v>
      </c>
      <c r="F254" s="163" t="s">
        <v>13</v>
      </c>
      <c r="G254" s="163">
        <v>2025</v>
      </c>
      <c r="H254" s="190">
        <f>I254+K254+L254+M254</f>
        <v>16778.89</v>
      </c>
      <c r="I254" s="169">
        <v>0</v>
      </c>
      <c r="J254" s="29" t="s">
        <v>7</v>
      </c>
      <c r="K254" s="116">
        <f>K255</f>
        <v>16778.89</v>
      </c>
      <c r="L254" s="55">
        <f t="shared" ref="L254:M254" si="65">L255</f>
        <v>0</v>
      </c>
      <c r="M254" s="55">
        <f t="shared" si="65"/>
        <v>0</v>
      </c>
    </row>
    <row r="255" spans="1:13" s="1" customFormat="1" ht="51" customHeight="1" x14ac:dyDescent="0.3">
      <c r="A255" s="160"/>
      <c r="B255" s="171"/>
      <c r="C255" s="160"/>
      <c r="D255" s="81" t="s">
        <v>19</v>
      </c>
      <c r="E255" s="172"/>
      <c r="F255" s="164"/>
      <c r="G255" s="164"/>
      <c r="H255" s="192"/>
      <c r="I255" s="170"/>
      <c r="J255" s="29" t="s">
        <v>9</v>
      </c>
      <c r="K255" s="116">
        <f>14930.13+1848.76</f>
        <v>16778.89</v>
      </c>
      <c r="L255" s="71">
        <v>0</v>
      </c>
      <c r="M255" s="55">
        <v>0</v>
      </c>
    </row>
    <row r="256" spans="1:13" s="1" customFormat="1" ht="50.25" customHeight="1" x14ac:dyDescent="0.3">
      <c r="A256" s="160" t="s">
        <v>159</v>
      </c>
      <c r="B256" s="171" t="s">
        <v>79</v>
      </c>
      <c r="C256" s="172" t="s">
        <v>230</v>
      </c>
      <c r="D256" s="172" t="s">
        <v>24</v>
      </c>
      <c r="E256" s="172" t="s">
        <v>12</v>
      </c>
      <c r="F256" s="160" t="s">
        <v>46</v>
      </c>
      <c r="G256" s="163" t="s">
        <v>80</v>
      </c>
      <c r="H256" s="161">
        <f>I256+K256+L256+M256</f>
        <v>4698.4399999999996</v>
      </c>
      <c r="I256" s="161">
        <v>0</v>
      </c>
      <c r="J256" s="29" t="s">
        <v>7</v>
      </c>
      <c r="K256" s="116">
        <f>K257</f>
        <v>4698.4399999999996</v>
      </c>
      <c r="L256" s="55">
        <f t="shared" ref="L256:M256" si="66">L257</f>
        <v>0</v>
      </c>
      <c r="M256" s="55">
        <f t="shared" si="66"/>
        <v>0</v>
      </c>
    </row>
    <row r="257" spans="1:13" s="1" customFormat="1" ht="15.6" x14ac:dyDescent="0.3">
      <c r="A257" s="160"/>
      <c r="B257" s="171"/>
      <c r="C257" s="172"/>
      <c r="D257" s="172"/>
      <c r="E257" s="172"/>
      <c r="F257" s="160"/>
      <c r="G257" s="165"/>
      <c r="H257" s="161"/>
      <c r="I257" s="161"/>
      <c r="J257" s="29" t="s">
        <v>9</v>
      </c>
      <c r="K257" s="116">
        <v>4698.4399999999996</v>
      </c>
      <c r="L257" s="28">
        <v>0</v>
      </c>
      <c r="M257" s="28">
        <v>0</v>
      </c>
    </row>
    <row r="258" spans="1:13" s="1" customFormat="1" ht="15.75" customHeight="1" x14ac:dyDescent="0.3">
      <c r="A258" s="160"/>
      <c r="B258" s="171"/>
      <c r="C258" s="172"/>
      <c r="D258" s="172" t="s">
        <v>19</v>
      </c>
      <c r="E258" s="172"/>
      <c r="F258" s="160" t="s">
        <v>63</v>
      </c>
      <c r="G258" s="165"/>
      <c r="H258" s="161">
        <f>I258+K258+L258+M258</f>
        <v>12195.1</v>
      </c>
      <c r="I258" s="161">
        <f>4693.1+1173.27</f>
        <v>5866.3700000000008</v>
      </c>
      <c r="J258" s="25" t="s">
        <v>7</v>
      </c>
      <c r="K258" s="116">
        <f>K259</f>
        <v>0</v>
      </c>
      <c r="L258" s="28">
        <f>L259</f>
        <v>6328.73</v>
      </c>
      <c r="M258" s="28">
        <f>M259</f>
        <v>0</v>
      </c>
    </row>
    <row r="259" spans="1:13" s="1" customFormat="1" ht="28.5" customHeight="1" x14ac:dyDescent="0.3">
      <c r="A259" s="160"/>
      <c r="B259" s="171"/>
      <c r="C259" s="172"/>
      <c r="D259" s="172"/>
      <c r="E259" s="172"/>
      <c r="F259" s="160"/>
      <c r="G259" s="164"/>
      <c r="H259" s="161"/>
      <c r="I259" s="161"/>
      <c r="J259" s="29" t="s">
        <v>9</v>
      </c>
      <c r="K259" s="116">
        <v>0</v>
      </c>
      <c r="L259" s="28">
        <v>6328.73</v>
      </c>
      <c r="M259" s="28">
        <v>0</v>
      </c>
    </row>
    <row r="260" spans="1:13" s="1" customFormat="1" ht="28.5" customHeight="1" x14ac:dyDescent="0.3">
      <c r="A260" s="163" t="s">
        <v>160</v>
      </c>
      <c r="B260" s="166" t="s">
        <v>120</v>
      </c>
      <c r="C260" s="163" t="s">
        <v>231</v>
      </c>
      <c r="D260" s="157" t="s">
        <v>24</v>
      </c>
      <c r="E260" s="157" t="s">
        <v>12</v>
      </c>
      <c r="F260" s="163" t="s">
        <v>46</v>
      </c>
      <c r="G260" s="163" t="s">
        <v>85</v>
      </c>
      <c r="H260" s="161">
        <f>I260+K260+L260+M260</f>
        <v>2096.1999999999998</v>
      </c>
      <c r="I260" s="161">
        <v>0</v>
      </c>
      <c r="J260" s="29" t="s">
        <v>7</v>
      </c>
      <c r="K260" s="116">
        <f>K261</f>
        <v>2096.1999999999998</v>
      </c>
      <c r="L260" s="55">
        <f t="shared" ref="L260:L262" si="67">L261</f>
        <v>0</v>
      </c>
      <c r="M260" s="55">
        <f t="shared" ref="M260:M262" si="68">M261</f>
        <v>0</v>
      </c>
    </row>
    <row r="261" spans="1:13" s="1" customFormat="1" ht="33.6" customHeight="1" x14ac:dyDescent="0.3">
      <c r="A261" s="165"/>
      <c r="B261" s="167"/>
      <c r="C261" s="165"/>
      <c r="D261" s="159"/>
      <c r="E261" s="158"/>
      <c r="F261" s="164"/>
      <c r="G261" s="165"/>
      <c r="H261" s="161"/>
      <c r="I261" s="161"/>
      <c r="J261" s="29" t="s">
        <v>9</v>
      </c>
      <c r="K261" s="116">
        <v>2096.1999999999998</v>
      </c>
      <c r="L261" s="55">
        <v>0</v>
      </c>
      <c r="M261" s="55">
        <v>0</v>
      </c>
    </row>
    <row r="262" spans="1:13" s="1" customFormat="1" ht="25.2" customHeight="1" x14ac:dyDescent="0.3">
      <c r="A262" s="165"/>
      <c r="B262" s="167"/>
      <c r="C262" s="165"/>
      <c r="D262" s="157" t="s">
        <v>19</v>
      </c>
      <c r="E262" s="158"/>
      <c r="F262" s="160" t="s">
        <v>11</v>
      </c>
      <c r="G262" s="165"/>
      <c r="H262" s="161">
        <f>I262+K262+L262+M262</f>
        <v>1063.52</v>
      </c>
      <c r="I262" s="161">
        <v>0</v>
      </c>
      <c r="J262" s="29" t="s">
        <v>7</v>
      </c>
      <c r="K262" s="116">
        <f>K263</f>
        <v>0</v>
      </c>
      <c r="L262" s="55">
        <f t="shared" si="67"/>
        <v>1063.52</v>
      </c>
      <c r="M262" s="55">
        <f t="shared" si="68"/>
        <v>0</v>
      </c>
    </row>
    <row r="263" spans="1:13" s="1" customFormat="1" ht="20.399999999999999" customHeight="1" x14ac:dyDescent="0.3">
      <c r="A263" s="164"/>
      <c r="B263" s="168"/>
      <c r="C263" s="164"/>
      <c r="D263" s="159"/>
      <c r="E263" s="159"/>
      <c r="F263" s="160"/>
      <c r="G263" s="164"/>
      <c r="H263" s="161"/>
      <c r="I263" s="161"/>
      <c r="J263" s="29" t="s">
        <v>9</v>
      </c>
      <c r="K263" s="116">
        <v>0</v>
      </c>
      <c r="L263" s="55">
        <v>1063.52</v>
      </c>
      <c r="M263" s="55">
        <v>0</v>
      </c>
    </row>
    <row r="264" spans="1:13" s="1" customFormat="1" ht="35.25" customHeight="1" x14ac:dyDescent="0.3">
      <c r="A264" s="163" t="s">
        <v>161</v>
      </c>
      <c r="B264" s="166" t="s">
        <v>121</v>
      </c>
      <c r="C264" s="163" t="s">
        <v>232</v>
      </c>
      <c r="D264" s="69" t="s">
        <v>24</v>
      </c>
      <c r="E264" s="157" t="s">
        <v>12</v>
      </c>
      <c r="F264" s="160" t="s">
        <v>46</v>
      </c>
      <c r="G264" s="163" t="s">
        <v>85</v>
      </c>
      <c r="H264" s="161">
        <f>I264+K264+L264+M264</f>
        <v>1873.17</v>
      </c>
      <c r="I264" s="161">
        <v>0</v>
      </c>
      <c r="J264" s="29" t="s">
        <v>7</v>
      </c>
      <c r="K264" s="116">
        <f>K265</f>
        <v>1873.17</v>
      </c>
      <c r="L264" s="55">
        <f t="shared" ref="L264:L266" si="69">L265</f>
        <v>0</v>
      </c>
      <c r="M264" s="55">
        <f t="shared" ref="M264:M266" si="70">M265</f>
        <v>0</v>
      </c>
    </row>
    <row r="265" spans="1:13" s="1" customFormat="1" ht="28.2" customHeight="1" x14ac:dyDescent="0.3">
      <c r="A265" s="165"/>
      <c r="B265" s="167"/>
      <c r="C265" s="165"/>
      <c r="D265" s="157" t="s">
        <v>19</v>
      </c>
      <c r="E265" s="158"/>
      <c r="F265" s="160"/>
      <c r="G265" s="165"/>
      <c r="H265" s="161"/>
      <c r="I265" s="161"/>
      <c r="J265" s="29" t="s">
        <v>9</v>
      </c>
      <c r="K265" s="116">
        <v>1873.17</v>
      </c>
      <c r="L265" s="55">
        <v>0</v>
      </c>
      <c r="M265" s="55">
        <v>0</v>
      </c>
    </row>
    <row r="266" spans="1:13" s="1" customFormat="1" ht="17.399999999999999" customHeight="1" x14ac:dyDescent="0.3">
      <c r="A266" s="165"/>
      <c r="B266" s="167"/>
      <c r="C266" s="165"/>
      <c r="D266" s="158"/>
      <c r="E266" s="158"/>
      <c r="F266" s="163" t="s">
        <v>11</v>
      </c>
      <c r="G266" s="165"/>
      <c r="H266" s="161">
        <f>I266+K266+L266+M266</f>
        <v>1972.45</v>
      </c>
      <c r="I266" s="161">
        <v>0</v>
      </c>
      <c r="J266" s="29" t="s">
        <v>7</v>
      </c>
      <c r="K266" s="116">
        <f>K267</f>
        <v>0</v>
      </c>
      <c r="L266" s="55">
        <f t="shared" si="69"/>
        <v>1972.45</v>
      </c>
      <c r="M266" s="55">
        <f t="shared" si="70"/>
        <v>0</v>
      </c>
    </row>
    <row r="267" spans="1:13" s="1" customFormat="1" ht="17.399999999999999" customHeight="1" x14ac:dyDescent="0.3">
      <c r="A267" s="164"/>
      <c r="B267" s="168"/>
      <c r="C267" s="164"/>
      <c r="D267" s="159"/>
      <c r="E267" s="159"/>
      <c r="F267" s="164"/>
      <c r="G267" s="164"/>
      <c r="H267" s="161"/>
      <c r="I267" s="161"/>
      <c r="J267" s="29" t="s">
        <v>9</v>
      </c>
      <c r="K267" s="116">
        <v>0</v>
      </c>
      <c r="L267" s="55">
        <v>1972.45</v>
      </c>
      <c r="M267" s="55">
        <v>0</v>
      </c>
    </row>
    <row r="268" spans="1:13" s="1" customFormat="1" ht="50.25" customHeight="1" x14ac:dyDescent="0.3">
      <c r="A268" s="160" t="s">
        <v>162</v>
      </c>
      <c r="B268" s="171" t="s">
        <v>122</v>
      </c>
      <c r="C268" s="160" t="s">
        <v>233</v>
      </c>
      <c r="D268" s="172" t="s">
        <v>24</v>
      </c>
      <c r="E268" s="172" t="s">
        <v>12</v>
      </c>
      <c r="F268" s="160" t="s">
        <v>46</v>
      </c>
      <c r="G268" s="163" t="s">
        <v>87</v>
      </c>
      <c r="H268" s="161">
        <f>I268+K268+L268+M268</f>
        <v>3920.58</v>
      </c>
      <c r="I268" s="161">
        <v>0</v>
      </c>
      <c r="J268" s="88" t="s">
        <v>7</v>
      </c>
      <c r="K268" s="116">
        <f>K269</f>
        <v>3920.58</v>
      </c>
      <c r="L268" s="55">
        <f t="shared" ref="L268" si="71">L269</f>
        <v>0</v>
      </c>
      <c r="M268" s="55">
        <f t="shared" ref="M268" si="72">M269</f>
        <v>0</v>
      </c>
    </row>
    <row r="269" spans="1:13" s="1" customFormat="1" ht="15.6" x14ac:dyDescent="0.3">
      <c r="A269" s="160"/>
      <c r="B269" s="171"/>
      <c r="C269" s="160"/>
      <c r="D269" s="172"/>
      <c r="E269" s="172"/>
      <c r="F269" s="160"/>
      <c r="G269" s="165"/>
      <c r="H269" s="161"/>
      <c r="I269" s="161"/>
      <c r="J269" s="88" t="s">
        <v>9</v>
      </c>
      <c r="K269" s="116">
        <v>3920.58</v>
      </c>
      <c r="L269" s="55">
        <v>0</v>
      </c>
      <c r="M269" s="55">
        <v>0</v>
      </c>
    </row>
    <row r="270" spans="1:13" s="1" customFormat="1" ht="15.75" customHeight="1" x14ac:dyDescent="0.3">
      <c r="A270" s="160"/>
      <c r="B270" s="171"/>
      <c r="C270" s="160"/>
      <c r="D270" s="172" t="s">
        <v>19</v>
      </c>
      <c r="E270" s="172"/>
      <c r="F270" s="160" t="s">
        <v>63</v>
      </c>
      <c r="G270" s="165"/>
      <c r="H270" s="161">
        <f>I270+K270+L270+M270</f>
        <v>1416.7099999999998</v>
      </c>
      <c r="I270" s="161">
        <v>1133.3699999999999</v>
      </c>
      <c r="J270" s="85" t="s">
        <v>7</v>
      </c>
      <c r="K270" s="116">
        <f>K271</f>
        <v>0</v>
      </c>
      <c r="L270" s="55">
        <f>L271</f>
        <v>283.33999999999997</v>
      </c>
      <c r="M270" s="55">
        <f>M271</f>
        <v>0</v>
      </c>
    </row>
    <row r="271" spans="1:13" s="1" customFormat="1" ht="28.5" customHeight="1" x14ac:dyDescent="0.3">
      <c r="A271" s="160"/>
      <c r="B271" s="171"/>
      <c r="C271" s="160"/>
      <c r="D271" s="172"/>
      <c r="E271" s="172"/>
      <c r="F271" s="160"/>
      <c r="G271" s="164"/>
      <c r="H271" s="161"/>
      <c r="I271" s="161"/>
      <c r="J271" s="88" t="s">
        <v>9</v>
      </c>
      <c r="K271" s="116">
        <v>0</v>
      </c>
      <c r="L271" s="55">
        <v>283.33999999999997</v>
      </c>
      <c r="M271" s="55">
        <v>0</v>
      </c>
    </row>
    <row r="272" spans="1:13" s="1" customFormat="1" ht="15.75" customHeight="1" x14ac:dyDescent="0.3">
      <c r="A272" s="160" t="s">
        <v>163</v>
      </c>
      <c r="B272" s="171" t="s">
        <v>257</v>
      </c>
      <c r="C272" s="160" t="s">
        <v>317</v>
      </c>
      <c r="D272" s="151" t="s">
        <v>24</v>
      </c>
      <c r="E272" s="172" t="s">
        <v>12</v>
      </c>
      <c r="F272" s="160" t="s">
        <v>46</v>
      </c>
      <c r="G272" s="160" t="s">
        <v>87</v>
      </c>
      <c r="H272" s="161">
        <f>I272+K272+L272+M272</f>
        <v>9246.2800000000007</v>
      </c>
      <c r="I272" s="161">
        <v>0</v>
      </c>
      <c r="J272" s="29" t="s">
        <v>7</v>
      </c>
      <c r="K272" s="152">
        <f>K273</f>
        <v>0</v>
      </c>
      <c r="L272" s="28">
        <f>L273</f>
        <v>9246.2800000000007</v>
      </c>
      <c r="M272" s="28">
        <f>M273</f>
        <v>0</v>
      </c>
    </row>
    <row r="273" spans="1:13" s="1" customFormat="1" ht="47.25" customHeight="1" x14ac:dyDescent="0.3">
      <c r="A273" s="160"/>
      <c r="B273" s="171"/>
      <c r="C273" s="160"/>
      <c r="D273" s="172" t="s">
        <v>19</v>
      </c>
      <c r="E273" s="172"/>
      <c r="F273" s="160"/>
      <c r="G273" s="160"/>
      <c r="H273" s="161"/>
      <c r="I273" s="161"/>
      <c r="J273" s="29" t="s">
        <v>9</v>
      </c>
      <c r="K273" s="152">
        <v>0</v>
      </c>
      <c r="L273" s="28">
        <v>9246.2800000000007</v>
      </c>
      <c r="M273" s="28">
        <v>0</v>
      </c>
    </row>
    <row r="274" spans="1:13" s="1" customFormat="1" ht="21" hidden="1" customHeight="1" x14ac:dyDescent="0.3">
      <c r="A274" s="160"/>
      <c r="B274" s="171"/>
      <c r="C274" s="160"/>
      <c r="D274" s="172"/>
      <c r="E274" s="172"/>
      <c r="F274" s="160" t="s">
        <v>11</v>
      </c>
      <c r="G274" s="182">
        <v>2027</v>
      </c>
      <c r="H274" s="181">
        <f>I274+K274+L274+M274</f>
        <v>0</v>
      </c>
      <c r="I274" s="183">
        <v>0</v>
      </c>
      <c r="J274" s="29" t="s">
        <v>7</v>
      </c>
      <c r="K274" s="152">
        <f>K275</f>
        <v>0</v>
      </c>
      <c r="L274" s="55">
        <f>L275</f>
        <v>0</v>
      </c>
      <c r="M274" s="55">
        <f>M275</f>
        <v>0</v>
      </c>
    </row>
    <row r="275" spans="1:13" s="1" customFormat="1" ht="21" hidden="1" customHeight="1" x14ac:dyDescent="0.3">
      <c r="A275" s="160"/>
      <c r="B275" s="171"/>
      <c r="C275" s="160"/>
      <c r="D275" s="172"/>
      <c r="E275" s="172"/>
      <c r="F275" s="160"/>
      <c r="G275" s="182"/>
      <c r="H275" s="181"/>
      <c r="I275" s="183"/>
      <c r="J275" s="29" t="s">
        <v>9</v>
      </c>
      <c r="K275" s="152">
        <v>0</v>
      </c>
      <c r="L275" s="55">
        <v>0</v>
      </c>
      <c r="M275" s="55">
        <v>0</v>
      </c>
    </row>
    <row r="276" spans="1:13" s="1" customFormat="1" ht="15.75" customHeight="1" x14ac:dyDescent="0.3">
      <c r="A276" s="160" t="s">
        <v>164</v>
      </c>
      <c r="B276" s="171" t="s">
        <v>256</v>
      </c>
      <c r="C276" s="160" t="s">
        <v>235</v>
      </c>
      <c r="D276" s="151" t="s">
        <v>24</v>
      </c>
      <c r="E276" s="172" t="s">
        <v>12</v>
      </c>
      <c r="F276" s="160" t="s">
        <v>46</v>
      </c>
      <c r="G276" s="160" t="s">
        <v>87</v>
      </c>
      <c r="H276" s="161">
        <f>I276+K276+L276+M276</f>
        <v>8178.21</v>
      </c>
      <c r="I276" s="161">
        <v>0</v>
      </c>
      <c r="J276" s="29" t="s">
        <v>7</v>
      </c>
      <c r="K276" s="152">
        <f>K277</f>
        <v>0</v>
      </c>
      <c r="L276" s="55">
        <f>L277</f>
        <v>8178.21</v>
      </c>
      <c r="M276" s="55">
        <f>M277</f>
        <v>0</v>
      </c>
    </row>
    <row r="277" spans="1:13" s="1" customFormat="1" ht="59.4" customHeight="1" x14ac:dyDescent="0.3">
      <c r="A277" s="160"/>
      <c r="B277" s="171"/>
      <c r="C277" s="160"/>
      <c r="D277" s="172" t="s">
        <v>19</v>
      </c>
      <c r="E277" s="172"/>
      <c r="F277" s="160"/>
      <c r="G277" s="160"/>
      <c r="H277" s="161"/>
      <c r="I277" s="161"/>
      <c r="J277" s="29" t="s">
        <v>9</v>
      </c>
      <c r="K277" s="152">
        <v>0</v>
      </c>
      <c r="L277" s="55">
        <v>8178.21</v>
      </c>
      <c r="M277" s="55">
        <v>0</v>
      </c>
    </row>
    <row r="278" spans="1:13" s="1" customFormat="1" ht="21" hidden="1" customHeight="1" x14ac:dyDescent="0.3">
      <c r="A278" s="160"/>
      <c r="B278" s="171"/>
      <c r="C278" s="160"/>
      <c r="D278" s="172"/>
      <c r="E278" s="172"/>
      <c r="F278" s="160" t="s">
        <v>11</v>
      </c>
      <c r="G278" s="182">
        <v>2027</v>
      </c>
      <c r="H278" s="181">
        <f>I278+K278+L278+M278</f>
        <v>0</v>
      </c>
      <c r="I278" s="183">
        <v>0</v>
      </c>
      <c r="J278" s="29" t="s">
        <v>7</v>
      </c>
      <c r="K278" s="152">
        <f>K279</f>
        <v>0</v>
      </c>
      <c r="L278" s="55">
        <f>L279</f>
        <v>0</v>
      </c>
      <c r="M278" s="55">
        <f>M279</f>
        <v>0</v>
      </c>
    </row>
    <row r="279" spans="1:13" s="1" customFormat="1" ht="21" hidden="1" customHeight="1" x14ac:dyDescent="0.3">
      <c r="A279" s="160"/>
      <c r="B279" s="171"/>
      <c r="C279" s="160"/>
      <c r="D279" s="172"/>
      <c r="E279" s="172"/>
      <c r="F279" s="160"/>
      <c r="G279" s="182"/>
      <c r="H279" s="181"/>
      <c r="I279" s="183"/>
      <c r="J279" s="29" t="s">
        <v>9</v>
      </c>
      <c r="K279" s="152">
        <v>0</v>
      </c>
      <c r="L279" s="55">
        <v>0</v>
      </c>
      <c r="M279" s="55">
        <v>0</v>
      </c>
    </row>
    <row r="280" spans="1:13" s="1" customFormat="1" ht="26.25" customHeight="1" x14ac:dyDescent="0.3">
      <c r="A280" s="160" t="s">
        <v>165</v>
      </c>
      <c r="B280" s="171" t="s">
        <v>258</v>
      </c>
      <c r="C280" s="160" t="s">
        <v>229</v>
      </c>
      <c r="D280" s="151" t="s">
        <v>24</v>
      </c>
      <c r="E280" s="172" t="s">
        <v>12</v>
      </c>
      <c r="F280" s="160" t="s">
        <v>11</v>
      </c>
      <c r="G280" s="160">
        <v>2026</v>
      </c>
      <c r="H280" s="161">
        <f>I280+K280+L280+M280</f>
        <v>24315.21</v>
      </c>
      <c r="I280" s="161">
        <v>0</v>
      </c>
      <c r="J280" s="29" t="s">
        <v>7</v>
      </c>
      <c r="K280" s="152">
        <f>K281</f>
        <v>0</v>
      </c>
      <c r="L280" s="55">
        <f t="shared" ref="L280:M286" si="73">L281</f>
        <v>24315.21</v>
      </c>
      <c r="M280" s="55">
        <f t="shared" si="73"/>
        <v>0</v>
      </c>
    </row>
    <row r="281" spans="1:13" s="1" customFormat="1" ht="45" customHeight="1" x14ac:dyDescent="0.3">
      <c r="A281" s="160"/>
      <c r="B281" s="171"/>
      <c r="C281" s="160"/>
      <c r="D281" s="151" t="s">
        <v>19</v>
      </c>
      <c r="E281" s="172"/>
      <c r="F281" s="160"/>
      <c r="G281" s="160"/>
      <c r="H281" s="161"/>
      <c r="I281" s="161"/>
      <c r="J281" s="29" t="s">
        <v>9</v>
      </c>
      <c r="K281" s="152">
        <v>0</v>
      </c>
      <c r="L281" s="152">
        <v>24315.21</v>
      </c>
      <c r="M281" s="55">
        <v>0</v>
      </c>
    </row>
    <row r="282" spans="1:13" s="1" customFormat="1" ht="50.25" customHeight="1" x14ac:dyDescent="0.3">
      <c r="A282" s="160" t="s">
        <v>166</v>
      </c>
      <c r="B282" s="171" t="s">
        <v>289</v>
      </c>
      <c r="C282" s="160" t="s">
        <v>318</v>
      </c>
      <c r="D282" s="172" t="s">
        <v>24</v>
      </c>
      <c r="E282" s="172" t="s">
        <v>12</v>
      </c>
      <c r="F282" s="160" t="s">
        <v>46</v>
      </c>
      <c r="G282" s="163">
        <v>2025</v>
      </c>
      <c r="H282" s="161">
        <f>I282+K282+L282+M282</f>
        <v>1557.75</v>
      </c>
      <c r="I282" s="161">
        <v>0</v>
      </c>
      <c r="J282" s="111" t="s">
        <v>7</v>
      </c>
      <c r="K282" s="116">
        <f>K283</f>
        <v>1557.75</v>
      </c>
      <c r="L282" s="55">
        <f t="shared" ref="L282:M282" si="74">L283</f>
        <v>0</v>
      </c>
      <c r="M282" s="55">
        <f t="shared" si="74"/>
        <v>0</v>
      </c>
    </row>
    <row r="283" spans="1:13" s="1" customFormat="1" ht="15.6" x14ac:dyDescent="0.3">
      <c r="A283" s="160"/>
      <c r="B283" s="171"/>
      <c r="C283" s="160"/>
      <c r="D283" s="172"/>
      <c r="E283" s="172"/>
      <c r="F283" s="160"/>
      <c r="G283" s="165"/>
      <c r="H283" s="161"/>
      <c r="I283" s="161"/>
      <c r="J283" s="111" t="s">
        <v>9</v>
      </c>
      <c r="K283" s="116">
        <v>1557.75</v>
      </c>
      <c r="L283" s="55">
        <v>0</v>
      </c>
      <c r="M283" s="55">
        <v>0</v>
      </c>
    </row>
    <row r="284" spans="1:13" s="1" customFormat="1" ht="15.75" customHeight="1" x14ac:dyDescent="0.3">
      <c r="A284" s="160"/>
      <c r="B284" s="171"/>
      <c r="C284" s="160"/>
      <c r="D284" s="172" t="s">
        <v>19</v>
      </c>
      <c r="E284" s="172"/>
      <c r="F284" s="160" t="s">
        <v>13</v>
      </c>
      <c r="G284" s="165"/>
      <c r="H284" s="161">
        <f>I284+K284+L284+M284</f>
        <v>20348.240000000002</v>
      </c>
      <c r="I284" s="161">
        <v>0</v>
      </c>
      <c r="J284" s="109" t="s">
        <v>7</v>
      </c>
      <c r="K284" s="116">
        <f>K285</f>
        <v>20348.240000000002</v>
      </c>
      <c r="L284" s="55">
        <f>L285</f>
        <v>0</v>
      </c>
      <c r="M284" s="55">
        <f>M285</f>
        <v>0</v>
      </c>
    </row>
    <row r="285" spans="1:13" s="1" customFormat="1" ht="28.5" customHeight="1" x14ac:dyDescent="0.3">
      <c r="A285" s="160"/>
      <c r="B285" s="171"/>
      <c r="C285" s="160"/>
      <c r="D285" s="172"/>
      <c r="E285" s="172"/>
      <c r="F285" s="160"/>
      <c r="G285" s="164"/>
      <c r="H285" s="161"/>
      <c r="I285" s="161"/>
      <c r="J285" s="111" t="s">
        <v>9</v>
      </c>
      <c r="K285" s="116">
        <f>26433.11-K283-4527.12</f>
        <v>20348.240000000002</v>
      </c>
      <c r="L285" s="55">
        <v>0</v>
      </c>
      <c r="M285" s="55">
        <v>0</v>
      </c>
    </row>
    <row r="286" spans="1:13" s="1" customFormat="1" ht="17.399999999999999" customHeight="1" x14ac:dyDescent="0.3">
      <c r="A286" s="163" t="s">
        <v>167</v>
      </c>
      <c r="B286" s="166" t="s">
        <v>93</v>
      </c>
      <c r="C286" s="163" t="s">
        <v>339</v>
      </c>
      <c r="D286" s="157" t="s">
        <v>24</v>
      </c>
      <c r="E286" s="157" t="s">
        <v>12</v>
      </c>
      <c r="F286" s="163" t="s">
        <v>282</v>
      </c>
      <c r="G286" s="163" t="s">
        <v>82</v>
      </c>
      <c r="H286" s="169">
        <f>I286+K286+L286+M286</f>
        <v>8537.65</v>
      </c>
      <c r="I286" s="169">
        <v>7967.28</v>
      </c>
      <c r="J286" s="29" t="s">
        <v>7</v>
      </c>
      <c r="K286" s="116">
        <f>K287</f>
        <v>570.37</v>
      </c>
      <c r="L286" s="55">
        <f t="shared" si="73"/>
        <v>0</v>
      </c>
      <c r="M286" s="55">
        <f t="shared" si="73"/>
        <v>0</v>
      </c>
    </row>
    <row r="287" spans="1:13" s="1" customFormat="1" ht="30" customHeight="1" x14ac:dyDescent="0.3">
      <c r="A287" s="165"/>
      <c r="B287" s="167"/>
      <c r="C287" s="165"/>
      <c r="D287" s="159"/>
      <c r="E287" s="158"/>
      <c r="F287" s="164"/>
      <c r="G287" s="165"/>
      <c r="H287" s="170"/>
      <c r="I287" s="170"/>
      <c r="J287" s="29" t="s">
        <v>9</v>
      </c>
      <c r="K287" s="116">
        <v>570.37</v>
      </c>
      <c r="L287" s="110">
        <v>0</v>
      </c>
      <c r="M287" s="55">
        <v>0</v>
      </c>
    </row>
    <row r="288" spans="1:13" s="1" customFormat="1" ht="18" customHeight="1" x14ac:dyDescent="0.3">
      <c r="A288" s="165"/>
      <c r="B288" s="167"/>
      <c r="C288" s="165"/>
      <c r="D288" s="157" t="s">
        <v>50</v>
      </c>
      <c r="E288" s="158"/>
      <c r="F288" s="163" t="s">
        <v>11</v>
      </c>
      <c r="G288" s="165"/>
      <c r="H288" s="169">
        <f>I288+K288+L288+M288</f>
        <v>144083.48000000001</v>
      </c>
      <c r="I288" s="169">
        <f>32.9+21.57+105343.08</f>
        <v>105397.55</v>
      </c>
      <c r="J288" s="173" t="s">
        <v>7</v>
      </c>
      <c r="K288" s="177">
        <f>K291+K290</f>
        <v>7460.3</v>
      </c>
      <c r="L288" s="179">
        <f>L291+L290</f>
        <v>31225.63</v>
      </c>
      <c r="M288" s="179">
        <f>M291+M290</f>
        <v>0</v>
      </c>
    </row>
    <row r="289" spans="1:14" s="1" customFormat="1" ht="14.4" customHeight="1" x14ac:dyDescent="0.3">
      <c r="A289" s="165"/>
      <c r="B289" s="167"/>
      <c r="C289" s="165"/>
      <c r="D289" s="158"/>
      <c r="E289" s="158"/>
      <c r="F289" s="165"/>
      <c r="G289" s="165"/>
      <c r="H289" s="176"/>
      <c r="I289" s="176"/>
      <c r="J289" s="174"/>
      <c r="K289" s="178"/>
      <c r="L289" s="180"/>
      <c r="M289" s="180"/>
    </row>
    <row r="290" spans="1:14" s="1" customFormat="1" ht="15.6" x14ac:dyDescent="0.3">
      <c r="A290" s="165"/>
      <c r="B290" s="167"/>
      <c r="C290" s="165"/>
      <c r="D290" s="158"/>
      <c r="E290" s="158"/>
      <c r="F290" s="165"/>
      <c r="G290" s="165"/>
      <c r="H290" s="176"/>
      <c r="I290" s="176"/>
      <c r="J290" s="29" t="s">
        <v>8</v>
      </c>
      <c r="K290" s="19">
        <v>3730.15</v>
      </c>
      <c r="L290" s="19">
        <v>0</v>
      </c>
      <c r="M290" s="7">
        <v>0</v>
      </c>
    </row>
    <row r="291" spans="1:14" s="1" customFormat="1" ht="15.6" x14ac:dyDescent="0.3">
      <c r="A291" s="164"/>
      <c r="B291" s="168"/>
      <c r="C291" s="164"/>
      <c r="D291" s="159"/>
      <c r="E291" s="159"/>
      <c r="F291" s="164"/>
      <c r="G291" s="164"/>
      <c r="H291" s="170"/>
      <c r="I291" s="170"/>
      <c r="J291" s="29" t="s">
        <v>9</v>
      </c>
      <c r="K291" s="116">
        <v>3730.15</v>
      </c>
      <c r="L291" s="144">
        <v>31225.63</v>
      </c>
      <c r="M291" s="28">
        <v>0</v>
      </c>
    </row>
    <row r="292" spans="1:14" s="8" customFormat="1" ht="22.8" customHeight="1" x14ac:dyDescent="0.3">
      <c r="A292" s="163" t="s">
        <v>168</v>
      </c>
      <c r="B292" s="171" t="s">
        <v>266</v>
      </c>
      <c r="C292" s="160" t="s">
        <v>319</v>
      </c>
      <c r="D292" s="160" t="s">
        <v>24</v>
      </c>
      <c r="E292" s="160" t="s">
        <v>12</v>
      </c>
      <c r="F292" s="160" t="s">
        <v>46</v>
      </c>
      <c r="G292" s="160" t="s">
        <v>62</v>
      </c>
      <c r="H292" s="161">
        <f>I292+K292+L292+M292</f>
        <v>1000</v>
      </c>
      <c r="I292" s="161">
        <v>860</v>
      </c>
      <c r="J292" s="94" t="s">
        <v>7</v>
      </c>
      <c r="K292" s="116">
        <f>K293</f>
        <v>140</v>
      </c>
      <c r="L292" s="93">
        <f t="shared" ref="L292:M292" si="75">L293</f>
        <v>0</v>
      </c>
      <c r="M292" s="93">
        <f t="shared" si="75"/>
        <v>0</v>
      </c>
    </row>
    <row r="293" spans="1:14" s="8" customFormat="1" ht="39.6" customHeight="1" x14ac:dyDescent="0.3">
      <c r="A293" s="165"/>
      <c r="B293" s="171"/>
      <c r="C293" s="160"/>
      <c r="D293" s="160"/>
      <c r="E293" s="160"/>
      <c r="F293" s="160"/>
      <c r="G293" s="160"/>
      <c r="H293" s="161"/>
      <c r="I293" s="161"/>
      <c r="J293" s="94" t="s">
        <v>9</v>
      </c>
      <c r="K293" s="116">
        <v>140</v>
      </c>
      <c r="L293" s="19">
        <v>0</v>
      </c>
      <c r="M293" s="19">
        <v>0</v>
      </c>
    </row>
    <row r="294" spans="1:14" s="8" customFormat="1" ht="15.75" customHeight="1" x14ac:dyDescent="0.3">
      <c r="A294" s="165"/>
      <c r="B294" s="171"/>
      <c r="C294" s="160"/>
      <c r="D294" s="160" t="s">
        <v>267</v>
      </c>
      <c r="E294" s="160"/>
      <c r="F294" s="160" t="s">
        <v>63</v>
      </c>
      <c r="G294" s="160"/>
      <c r="H294" s="161">
        <f>I294+K294+L294+M294</f>
        <v>13557.829999999998</v>
      </c>
      <c r="I294" s="169">
        <f>5132.61</f>
        <v>5132.6099999999997</v>
      </c>
      <c r="J294" s="94" t="s">
        <v>7</v>
      </c>
      <c r="K294" s="19">
        <f>K295</f>
        <v>8425.2199999999993</v>
      </c>
      <c r="L294" s="93">
        <f>L295</f>
        <v>0</v>
      </c>
      <c r="M294" s="93">
        <f>M295</f>
        <v>0</v>
      </c>
    </row>
    <row r="295" spans="1:14" s="8" customFormat="1" ht="28.8" customHeight="1" x14ac:dyDescent="0.3">
      <c r="A295" s="164"/>
      <c r="B295" s="171"/>
      <c r="C295" s="160"/>
      <c r="D295" s="160"/>
      <c r="E295" s="160"/>
      <c r="F295" s="160"/>
      <c r="G295" s="160"/>
      <c r="H295" s="161"/>
      <c r="I295" s="170"/>
      <c r="J295" s="94" t="s">
        <v>9</v>
      </c>
      <c r="K295" s="116">
        <v>8425.2199999999993</v>
      </c>
      <c r="L295" s="93">
        <v>0</v>
      </c>
      <c r="M295" s="93">
        <v>0</v>
      </c>
    </row>
    <row r="296" spans="1:14" s="1" customFormat="1" ht="22.5" customHeight="1" x14ac:dyDescent="0.3">
      <c r="A296" s="157" t="s">
        <v>169</v>
      </c>
      <c r="B296" s="173" t="s">
        <v>255</v>
      </c>
      <c r="C296" s="163" t="s">
        <v>288</v>
      </c>
      <c r="D296" s="126" t="s">
        <v>24</v>
      </c>
      <c r="E296" s="157" t="s">
        <v>12</v>
      </c>
      <c r="F296" s="160" t="s">
        <v>11</v>
      </c>
      <c r="G296" s="160">
        <v>2027</v>
      </c>
      <c r="H296" s="161">
        <f>I296+K296+L296+M296</f>
        <v>67958.039999999994</v>
      </c>
      <c r="I296" s="161">
        <v>0</v>
      </c>
      <c r="J296" s="29" t="s">
        <v>7</v>
      </c>
      <c r="K296" s="129">
        <f>K297</f>
        <v>0</v>
      </c>
      <c r="L296" s="55">
        <f t="shared" ref="L296:M296" si="76">L297</f>
        <v>0</v>
      </c>
      <c r="M296" s="55">
        <f t="shared" si="76"/>
        <v>67958.039999999994</v>
      </c>
    </row>
    <row r="297" spans="1:14" s="1" customFormat="1" ht="44.25" customHeight="1" x14ac:dyDescent="0.3">
      <c r="A297" s="159"/>
      <c r="B297" s="174"/>
      <c r="C297" s="164"/>
      <c r="D297" s="127" t="s">
        <v>50</v>
      </c>
      <c r="E297" s="159"/>
      <c r="F297" s="160"/>
      <c r="G297" s="160"/>
      <c r="H297" s="160"/>
      <c r="I297" s="161"/>
      <c r="J297" s="29" t="s">
        <v>9</v>
      </c>
      <c r="K297" s="129">
        <v>0</v>
      </c>
      <c r="L297" s="55">
        <v>0</v>
      </c>
      <c r="M297" s="55">
        <v>67958.039999999994</v>
      </c>
    </row>
    <row r="298" spans="1:14" s="8" customFormat="1" ht="30.75" hidden="1" customHeight="1" x14ac:dyDescent="0.3">
      <c r="A298" s="163"/>
      <c r="B298" s="166" t="s">
        <v>59</v>
      </c>
      <c r="C298" s="163" t="s">
        <v>61</v>
      </c>
      <c r="D298" s="23" t="s">
        <v>24</v>
      </c>
      <c r="E298" s="163" t="s">
        <v>12</v>
      </c>
      <c r="F298" s="160" t="s">
        <v>13</v>
      </c>
      <c r="G298" s="182" t="s">
        <v>34</v>
      </c>
      <c r="H298" s="161">
        <f>I298+K298+L298+M298</f>
        <v>253.81</v>
      </c>
      <c r="I298" s="183">
        <v>253.81</v>
      </c>
      <c r="J298" s="30" t="s">
        <v>7</v>
      </c>
      <c r="K298" s="116">
        <f t="shared" ref="K298:M298" si="77">K299</f>
        <v>0</v>
      </c>
      <c r="L298" s="27">
        <f t="shared" si="77"/>
        <v>0</v>
      </c>
      <c r="M298" s="27">
        <f t="shared" si="77"/>
        <v>0</v>
      </c>
    </row>
    <row r="299" spans="1:14" s="8" customFormat="1" ht="30.75" hidden="1" customHeight="1" x14ac:dyDescent="0.3">
      <c r="A299" s="164"/>
      <c r="B299" s="168"/>
      <c r="C299" s="164"/>
      <c r="D299" s="23" t="s">
        <v>50</v>
      </c>
      <c r="E299" s="164"/>
      <c r="F299" s="160"/>
      <c r="G299" s="182"/>
      <c r="H299" s="160"/>
      <c r="I299" s="183"/>
      <c r="J299" s="30" t="s">
        <v>9</v>
      </c>
      <c r="K299" s="116"/>
      <c r="L299" s="27">
        <v>0</v>
      </c>
      <c r="M299" s="27">
        <v>0</v>
      </c>
    </row>
    <row r="300" spans="1:14" s="1" customFormat="1" ht="42.75" customHeight="1" x14ac:dyDescent="0.3">
      <c r="A300" s="160" t="s">
        <v>170</v>
      </c>
      <c r="B300" s="171" t="s">
        <v>126</v>
      </c>
      <c r="C300" s="160" t="s">
        <v>236</v>
      </c>
      <c r="D300" s="172" t="s">
        <v>24</v>
      </c>
      <c r="E300" s="172" t="s">
        <v>12</v>
      </c>
      <c r="F300" s="160" t="s">
        <v>388</v>
      </c>
      <c r="G300" s="163" t="s">
        <v>265</v>
      </c>
      <c r="H300" s="181">
        <f>I300+K300+L300+M300</f>
        <v>5103.62</v>
      </c>
      <c r="I300" s="161">
        <v>0</v>
      </c>
      <c r="J300" s="29" t="s">
        <v>7</v>
      </c>
      <c r="K300" s="116">
        <f>K301</f>
        <v>5103.62</v>
      </c>
      <c r="L300" s="55">
        <f t="shared" ref="L300" si="78">L301</f>
        <v>0</v>
      </c>
      <c r="M300" s="55">
        <f t="shared" ref="M300" si="79">M301</f>
        <v>0</v>
      </c>
    </row>
    <row r="301" spans="1:14" s="1" customFormat="1" ht="15.6" x14ac:dyDescent="0.3">
      <c r="A301" s="160"/>
      <c r="B301" s="171"/>
      <c r="C301" s="160"/>
      <c r="D301" s="172"/>
      <c r="E301" s="172"/>
      <c r="F301" s="160"/>
      <c r="G301" s="165"/>
      <c r="H301" s="181"/>
      <c r="I301" s="161"/>
      <c r="J301" s="29" t="s">
        <v>9</v>
      </c>
      <c r="K301" s="116">
        <v>5103.62</v>
      </c>
      <c r="L301" s="55">
        <v>0</v>
      </c>
      <c r="M301" s="55">
        <v>0</v>
      </c>
      <c r="N301" s="148"/>
    </row>
    <row r="302" spans="1:14" s="1" customFormat="1" ht="15.75" customHeight="1" x14ac:dyDescent="0.3">
      <c r="A302" s="160"/>
      <c r="B302" s="171"/>
      <c r="C302" s="160"/>
      <c r="D302" s="172" t="s">
        <v>50</v>
      </c>
      <c r="E302" s="172"/>
      <c r="F302" s="160" t="s">
        <v>11</v>
      </c>
      <c r="G302" s="165"/>
      <c r="H302" s="181">
        <f>I302+K302+L302+M302</f>
        <v>106964.3</v>
      </c>
      <c r="I302" s="161">
        <v>0</v>
      </c>
      <c r="J302" s="68" t="s">
        <v>7</v>
      </c>
      <c r="K302" s="116">
        <f>K303</f>
        <v>0</v>
      </c>
      <c r="L302" s="55">
        <f>L303</f>
        <v>0</v>
      </c>
      <c r="M302" s="55">
        <f>M303</f>
        <v>106964.3</v>
      </c>
    </row>
    <row r="303" spans="1:14" s="1" customFormat="1" ht="28.5" customHeight="1" x14ac:dyDescent="0.3">
      <c r="A303" s="160"/>
      <c r="B303" s="171"/>
      <c r="C303" s="160"/>
      <c r="D303" s="172"/>
      <c r="E303" s="172"/>
      <c r="F303" s="160"/>
      <c r="G303" s="164"/>
      <c r="H303" s="181"/>
      <c r="I303" s="161"/>
      <c r="J303" s="29" t="s">
        <v>9</v>
      </c>
      <c r="K303" s="116">
        <v>0</v>
      </c>
      <c r="L303" s="55">
        <v>0</v>
      </c>
      <c r="M303" s="55">
        <v>106964.3</v>
      </c>
    </row>
    <row r="304" spans="1:14" s="8" customFormat="1" ht="20.25" customHeight="1" x14ac:dyDescent="0.3">
      <c r="A304" s="163" t="s">
        <v>171</v>
      </c>
      <c r="B304" s="166" t="s">
        <v>64</v>
      </c>
      <c r="C304" s="163" t="s">
        <v>305</v>
      </c>
      <c r="D304" s="36" t="s">
        <v>24</v>
      </c>
      <c r="E304" s="163" t="s">
        <v>12</v>
      </c>
      <c r="F304" s="160" t="s">
        <v>13</v>
      </c>
      <c r="G304" s="160" t="s">
        <v>62</v>
      </c>
      <c r="H304" s="161">
        <f>I304+K304+L304+M304</f>
        <v>24299.489999999998</v>
      </c>
      <c r="I304" s="161">
        <f>253.81+277.63</f>
        <v>531.44000000000005</v>
      </c>
      <c r="J304" s="30" t="s">
        <v>7</v>
      </c>
      <c r="K304" s="116">
        <f t="shared" ref="K304:M310" si="80">K305</f>
        <v>23768.05</v>
      </c>
      <c r="L304" s="37">
        <f t="shared" si="80"/>
        <v>0</v>
      </c>
      <c r="M304" s="37">
        <f t="shared" si="80"/>
        <v>0</v>
      </c>
    </row>
    <row r="305" spans="1:13" s="8" customFormat="1" ht="45" customHeight="1" x14ac:dyDescent="0.3">
      <c r="A305" s="164"/>
      <c r="B305" s="168"/>
      <c r="C305" s="164"/>
      <c r="D305" s="35" t="s">
        <v>50</v>
      </c>
      <c r="E305" s="164"/>
      <c r="F305" s="160"/>
      <c r="G305" s="160"/>
      <c r="H305" s="160"/>
      <c r="I305" s="161"/>
      <c r="J305" s="30" t="s">
        <v>9</v>
      </c>
      <c r="K305" s="116">
        <v>23768.05</v>
      </c>
      <c r="L305" s="37">
        <v>0</v>
      </c>
      <c r="M305" s="37">
        <v>0</v>
      </c>
    </row>
    <row r="306" spans="1:13" s="8" customFormat="1" ht="20.25" customHeight="1" x14ac:dyDescent="0.3">
      <c r="A306" s="163" t="s">
        <v>172</v>
      </c>
      <c r="B306" s="166" t="s">
        <v>65</v>
      </c>
      <c r="C306" s="163" t="s">
        <v>303</v>
      </c>
      <c r="D306" s="44" t="s">
        <v>24</v>
      </c>
      <c r="E306" s="163" t="s">
        <v>12</v>
      </c>
      <c r="F306" s="160" t="s">
        <v>13</v>
      </c>
      <c r="G306" s="160" t="s">
        <v>80</v>
      </c>
      <c r="H306" s="161">
        <f>I306+K306+L306+M306</f>
        <v>17487.23</v>
      </c>
      <c r="I306" s="161">
        <f>253.81+277.63</f>
        <v>531.44000000000005</v>
      </c>
      <c r="J306" s="30" t="s">
        <v>7</v>
      </c>
      <c r="K306" s="116">
        <f t="shared" si="80"/>
        <v>0</v>
      </c>
      <c r="L306" s="46">
        <f t="shared" si="80"/>
        <v>16955.79</v>
      </c>
      <c r="M306" s="46">
        <f t="shared" si="80"/>
        <v>0</v>
      </c>
    </row>
    <row r="307" spans="1:13" s="8" customFormat="1" ht="42" customHeight="1" x14ac:dyDescent="0.3">
      <c r="A307" s="164"/>
      <c r="B307" s="168"/>
      <c r="C307" s="164"/>
      <c r="D307" s="45" t="s">
        <v>50</v>
      </c>
      <c r="E307" s="164"/>
      <c r="F307" s="160"/>
      <c r="G307" s="160"/>
      <c r="H307" s="160"/>
      <c r="I307" s="161"/>
      <c r="J307" s="30" t="s">
        <v>9</v>
      </c>
      <c r="K307" s="116">
        <v>0</v>
      </c>
      <c r="L307" s="46">
        <v>16955.79</v>
      </c>
      <c r="M307" s="46">
        <v>0</v>
      </c>
    </row>
    <row r="308" spans="1:13" s="8" customFormat="1" ht="20.25" customHeight="1" x14ac:dyDescent="0.3">
      <c r="A308" s="160" t="s">
        <v>173</v>
      </c>
      <c r="B308" s="184" t="s">
        <v>66</v>
      </c>
      <c r="C308" s="172" t="s">
        <v>304</v>
      </c>
      <c r="D308" s="80" t="s">
        <v>24</v>
      </c>
      <c r="E308" s="160" t="s">
        <v>12</v>
      </c>
      <c r="F308" s="160" t="s">
        <v>13</v>
      </c>
      <c r="G308" s="160" t="s">
        <v>87</v>
      </c>
      <c r="H308" s="161">
        <f>I308+K308+L308+M308</f>
        <v>13552.38</v>
      </c>
      <c r="I308" s="161">
        <v>170.25</v>
      </c>
      <c r="J308" s="84" t="s">
        <v>7</v>
      </c>
      <c r="K308" s="116">
        <f t="shared" si="80"/>
        <v>0</v>
      </c>
      <c r="L308" s="83">
        <f t="shared" si="80"/>
        <v>13382.13</v>
      </c>
      <c r="M308" s="83">
        <f t="shared" si="80"/>
        <v>0</v>
      </c>
    </row>
    <row r="309" spans="1:13" s="8" customFormat="1" ht="44.25" customHeight="1" x14ac:dyDescent="0.3">
      <c r="A309" s="160"/>
      <c r="B309" s="184"/>
      <c r="C309" s="172"/>
      <c r="D309" s="80" t="s">
        <v>50</v>
      </c>
      <c r="E309" s="160"/>
      <c r="F309" s="160"/>
      <c r="G309" s="160"/>
      <c r="H309" s="160"/>
      <c r="I309" s="161"/>
      <c r="J309" s="84" t="s">
        <v>9</v>
      </c>
      <c r="K309" s="116">
        <v>0</v>
      </c>
      <c r="L309" s="83">
        <v>13382.13</v>
      </c>
      <c r="M309" s="83">
        <v>0</v>
      </c>
    </row>
    <row r="310" spans="1:13" s="8" customFormat="1" ht="20.25" hidden="1" customHeight="1" x14ac:dyDescent="0.3">
      <c r="A310" s="163"/>
      <c r="B310" s="173" t="s">
        <v>67</v>
      </c>
      <c r="C310" s="157" t="s">
        <v>68</v>
      </c>
      <c r="D310" s="23" t="s">
        <v>24</v>
      </c>
      <c r="E310" s="163" t="s">
        <v>12</v>
      </c>
      <c r="F310" s="160" t="s">
        <v>13</v>
      </c>
      <c r="G310" s="182" t="s">
        <v>112</v>
      </c>
      <c r="H310" s="161">
        <f>I310+K310+L310+M310</f>
        <v>253.81</v>
      </c>
      <c r="I310" s="183">
        <v>253.81</v>
      </c>
      <c r="J310" s="30" t="s">
        <v>7</v>
      </c>
      <c r="K310" s="116">
        <f t="shared" si="80"/>
        <v>0</v>
      </c>
      <c r="L310" s="27">
        <f t="shared" si="80"/>
        <v>0</v>
      </c>
      <c r="M310" s="27">
        <f t="shared" si="80"/>
        <v>0</v>
      </c>
    </row>
    <row r="311" spans="1:13" s="8" customFormat="1" ht="47.25" hidden="1" customHeight="1" x14ac:dyDescent="0.3">
      <c r="A311" s="164"/>
      <c r="B311" s="174"/>
      <c r="C311" s="159"/>
      <c r="D311" s="23" t="s">
        <v>50</v>
      </c>
      <c r="E311" s="164"/>
      <c r="F311" s="160"/>
      <c r="G311" s="182"/>
      <c r="H311" s="160"/>
      <c r="I311" s="183"/>
      <c r="J311" s="30" t="s">
        <v>9</v>
      </c>
      <c r="K311" s="116">
        <v>0</v>
      </c>
      <c r="L311" s="27">
        <v>0</v>
      </c>
      <c r="M311" s="27">
        <v>0</v>
      </c>
    </row>
    <row r="312" spans="1:13" s="8" customFormat="1" ht="23.25" customHeight="1" x14ac:dyDescent="0.3">
      <c r="A312" s="163" t="s">
        <v>174</v>
      </c>
      <c r="B312" s="173" t="s">
        <v>69</v>
      </c>
      <c r="C312" s="157" t="s">
        <v>280</v>
      </c>
      <c r="D312" s="65" t="s">
        <v>24</v>
      </c>
      <c r="E312" s="163" t="s">
        <v>12</v>
      </c>
      <c r="F312" s="163" t="s">
        <v>13</v>
      </c>
      <c r="G312" s="163" t="s">
        <v>80</v>
      </c>
      <c r="H312" s="169">
        <f>I312+K312+L312+M312</f>
        <v>14039.43</v>
      </c>
      <c r="I312" s="169">
        <f>253.81+277.63</f>
        <v>531.44000000000005</v>
      </c>
      <c r="J312" s="66" t="s">
        <v>7</v>
      </c>
      <c r="K312" s="117">
        <f>K313</f>
        <v>0</v>
      </c>
      <c r="L312" s="32">
        <f>L313</f>
        <v>13507.99</v>
      </c>
      <c r="M312" s="32">
        <f>M313</f>
        <v>0</v>
      </c>
    </row>
    <row r="313" spans="1:13" s="8" customFormat="1" ht="44.25" customHeight="1" x14ac:dyDescent="0.3">
      <c r="A313" s="164"/>
      <c r="B313" s="174"/>
      <c r="C313" s="159"/>
      <c r="D313" s="23" t="s">
        <v>50</v>
      </c>
      <c r="E313" s="164"/>
      <c r="F313" s="164"/>
      <c r="G313" s="164"/>
      <c r="H313" s="170"/>
      <c r="I313" s="170"/>
      <c r="J313" s="30" t="s">
        <v>9</v>
      </c>
      <c r="K313" s="116">
        <v>0</v>
      </c>
      <c r="L313" s="27">
        <v>13507.99</v>
      </c>
      <c r="M313" s="27">
        <v>0</v>
      </c>
    </row>
    <row r="314" spans="1:13" s="8" customFormat="1" ht="33" customHeight="1" x14ac:dyDescent="0.3">
      <c r="A314" s="163" t="s">
        <v>175</v>
      </c>
      <c r="B314" s="173" t="s">
        <v>70</v>
      </c>
      <c r="C314" s="157" t="s">
        <v>279</v>
      </c>
      <c r="D314" s="163" t="s">
        <v>24</v>
      </c>
      <c r="E314" s="163" t="s">
        <v>12</v>
      </c>
      <c r="F314" s="163" t="s">
        <v>13</v>
      </c>
      <c r="G314" s="163" t="s">
        <v>80</v>
      </c>
      <c r="H314" s="169">
        <f>I314+K314+L314+M314</f>
        <v>25662.55</v>
      </c>
      <c r="I314" s="169">
        <f>253.81+277.63</f>
        <v>531.44000000000005</v>
      </c>
      <c r="J314" s="166" t="s">
        <v>7</v>
      </c>
      <c r="K314" s="177">
        <f>K316</f>
        <v>0</v>
      </c>
      <c r="L314" s="177">
        <f>L316</f>
        <v>25131.11</v>
      </c>
      <c r="M314" s="177">
        <f>M316</f>
        <v>0</v>
      </c>
    </row>
    <row r="315" spans="1:13" s="8" customFormat="1" ht="20.25" customHeight="1" x14ac:dyDescent="0.3">
      <c r="A315" s="165"/>
      <c r="B315" s="186"/>
      <c r="C315" s="158"/>
      <c r="D315" s="164"/>
      <c r="E315" s="165"/>
      <c r="F315" s="165"/>
      <c r="G315" s="165"/>
      <c r="H315" s="176"/>
      <c r="I315" s="176"/>
      <c r="J315" s="168"/>
      <c r="K315" s="178"/>
      <c r="L315" s="178"/>
      <c r="M315" s="178"/>
    </row>
    <row r="316" spans="1:13" s="8" customFormat="1" ht="18.75" customHeight="1" x14ac:dyDescent="0.3">
      <c r="A316" s="164"/>
      <c r="B316" s="174"/>
      <c r="C316" s="159"/>
      <c r="D316" s="23" t="s">
        <v>50</v>
      </c>
      <c r="E316" s="164"/>
      <c r="F316" s="164"/>
      <c r="G316" s="164"/>
      <c r="H316" s="170"/>
      <c r="I316" s="170"/>
      <c r="J316" s="30" t="s">
        <v>9</v>
      </c>
      <c r="K316" s="116">
        <v>0</v>
      </c>
      <c r="L316" s="27">
        <v>25131.11</v>
      </c>
      <c r="M316" s="27">
        <v>0</v>
      </c>
    </row>
    <row r="317" spans="1:13" s="8" customFormat="1" ht="20.25" customHeight="1" x14ac:dyDescent="0.3">
      <c r="A317" s="165" t="s">
        <v>176</v>
      </c>
      <c r="B317" s="173" t="s">
        <v>71</v>
      </c>
      <c r="C317" s="157" t="s">
        <v>302</v>
      </c>
      <c r="D317" s="23" t="s">
        <v>24</v>
      </c>
      <c r="E317" s="163" t="s">
        <v>12</v>
      </c>
      <c r="F317" s="160" t="s">
        <v>13</v>
      </c>
      <c r="G317" s="160" t="s">
        <v>62</v>
      </c>
      <c r="H317" s="161">
        <f>I317+K317+L317+M317</f>
        <v>32006.57</v>
      </c>
      <c r="I317" s="161">
        <f>223.72+277.63</f>
        <v>501.35</v>
      </c>
      <c r="J317" s="30" t="s">
        <v>7</v>
      </c>
      <c r="K317" s="116">
        <f t="shared" ref="K317:M317" si="81">K318</f>
        <v>31505.22</v>
      </c>
      <c r="L317" s="27">
        <f t="shared" si="81"/>
        <v>0</v>
      </c>
      <c r="M317" s="27">
        <f t="shared" si="81"/>
        <v>0</v>
      </c>
    </row>
    <row r="318" spans="1:13" s="8" customFormat="1" ht="41.25" customHeight="1" x14ac:dyDescent="0.3">
      <c r="A318" s="164"/>
      <c r="B318" s="174"/>
      <c r="C318" s="159"/>
      <c r="D318" s="23" t="s">
        <v>50</v>
      </c>
      <c r="E318" s="164"/>
      <c r="F318" s="160"/>
      <c r="G318" s="160"/>
      <c r="H318" s="160"/>
      <c r="I318" s="161"/>
      <c r="J318" s="30" t="s">
        <v>9</v>
      </c>
      <c r="K318" s="116">
        <v>31505.22</v>
      </c>
      <c r="L318" s="27">
        <v>0</v>
      </c>
      <c r="M318" s="27">
        <v>0</v>
      </c>
    </row>
    <row r="319" spans="1:13" s="8" customFormat="1" ht="20.25" customHeight="1" x14ac:dyDescent="0.3">
      <c r="A319" s="163" t="s">
        <v>177</v>
      </c>
      <c r="B319" s="173" t="s">
        <v>72</v>
      </c>
      <c r="C319" s="157" t="s">
        <v>281</v>
      </c>
      <c r="D319" s="23" t="s">
        <v>24</v>
      </c>
      <c r="E319" s="163" t="s">
        <v>12</v>
      </c>
      <c r="F319" s="160" t="s">
        <v>13</v>
      </c>
      <c r="G319" s="160" t="s">
        <v>62</v>
      </c>
      <c r="H319" s="161">
        <f>I319+K319+L319+M319</f>
        <v>84367.43</v>
      </c>
      <c r="I319" s="161">
        <v>91.04</v>
      </c>
      <c r="J319" s="30" t="s">
        <v>7</v>
      </c>
      <c r="K319" s="116">
        <f t="shared" ref="K319:M319" si="82">K320</f>
        <v>84276.39</v>
      </c>
      <c r="L319" s="27">
        <f t="shared" si="82"/>
        <v>0</v>
      </c>
      <c r="M319" s="27">
        <f t="shared" si="82"/>
        <v>0</v>
      </c>
    </row>
    <row r="320" spans="1:13" s="8" customFormat="1" ht="41.25" customHeight="1" x14ac:dyDescent="0.3">
      <c r="A320" s="164"/>
      <c r="B320" s="174"/>
      <c r="C320" s="159"/>
      <c r="D320" s="23" t="s">
        <v>50</v>
      </c>
      <c r="E320" s="164"/>
      <c r="F320" s="160"/>
      <c r="G320" s="160"/>
      <c r="H320" s="160"/>
      <c r="I320" s="161"/>
      <c r="J320" s="30" t="s">
        <v>9</v>
      </c>
      <c r="K320" s="116">
        <v>84276.39</v>
      </c>
      <c r="L320" s="27">
        <v>0</v>
      </c>
      <c r="M320" s="27">
        <v>0</v>
      </c>
    </row>
    <row r="321" spans="1:13" s="8" customFormat="1" ht="15.6" hidden="1" x14ac:dyDescent="0.3">
      <c r="A321" s="160"/>
      <c r="B321" s="184" t="s">
        <v>73</v>
      </c>
      <c r="C321" s="160" t="s">
        <v>74</v>
      </c>
      <c r="D321" s="21" t="s">
        <v>24</v>
      </c>
      <c r="E321" s="160" t="s">
        <v>12</v>
      </c>
      <c r="F321" s="160" t="s">
        <v>13</v>
      </c>
      <c r="G321" s="182" t="s">
        <v>34</v>
      </c>
      <c r="H321" s="161">
        <f>I321+K321+L321+M321</f>
        <v>531.44000000000005</v>
      </c>
      <c r="I321" s="183">
        <v>265.72000000000003</v>
      </c>
      <c r="J321" s="30" t="s">
        <v>7</v>
      </c>
      <c r="K321" s="116">
        <f t="shared" ref="K321:M321" si="83">K322</f>
        <v>265.72000000000003</v>
      </c>
      <c r="L321" s="27">
        <f t="shared" si="83"/>
        <v>0</v>
      </c>
      <c r="M321" s="27">
        <f t="shared" si="83"/>
        <v>0</v>
      </c>
    </row>
    <row r="322" spans="1:13" s="8" customFormat="1" ht="47.25" hidden="1" customHeight="1" x14ac:dyDescent="0.3">
      <c r="A322" s="160"/>
      <c r="B322" s="184"/>
      <c r="C322" s="160"/>
      <c r="D322" s="21" t="s">
        <v>50</v>
      </c>
      <c r="E322" s="160"/>
      <c r="F322" s="160"/>
      <c r="G322" s="182"/>
      <c r="H322" s="160"/>
      <c r="I322" s="183"/>
      <c r="J322" s="30" t="s">
        <v>9</v>
      </c>
      <c r="K322" s="116">
        <v>265.72000000000003</v>
      </c>
      <c r="L322" s="27">
        <v>0</v>
      </c>
      <c r="M322" s="27">
        <v>0</v>
      </c>
    </row>
    <row r="323" spans="1:13" s="1" customFormat="1" ht="29.25" customHeight="1" x14ac:dyDescent="0.3">
      <c r="A323" s="160" t="s">
        <v>178</v>
      </c>
      <c r="B323" s="171" t="s">
        <v>127</v>
      </c>
      <c r="C323" s="160" t="s">
        <v>237</v>
      </c>
      <c r="D323" s="172" t="s">
        <v>24</v>
      </c>
      <c r="E323" s="172" t="s">
        <v>12</v>
      </c>
      <c r="F323" s="160" t="s">
        <v>97</v>
      </c>
      <c r="G323" s="163" t="s">
        <v>85</v>
      </c>
      <c r="H323" s="161">
        <f>I323+K323+L323+M323</f>
        <v>4303.49</v>
      </c>
      <c r="I323" s="161">
        <v>0</v>
      </c>
      <c r="J323" s="29" t="s">
        <v>7</v>
      </c>
      <c r="K323" s="116">
        <f>K324</f>
        <v>4303.49</v>
      </c>
      <c r="L323" s="55">
        <f t="shared" ref="L323" si="84">L324</f>
        <v>0</v>
      </c>
      <c r="M323" s="55">
        <f t="shared" ref="M323" si="85">M324</f>
        <v>0</v>
      </c>
    </row>
    <row r="324" spans="1:13" s="1" customFormat="1" ht="15.6" x14ac:dyDescent="0.3">
      <c r="A324" s="160"/>
      <c r="B324" s="171"/>
      <c r="C324" s="160"/>
      <c r="D324" s="172"/>
      <c r="E324" s="172"/>
      <c r="F324" s="160"/>
      <c r="G324" s="165"/>
      <c r="H324" s="161"/>
      <c r="I324" s="161"/>
      <c r="J324" s="29" t="s">
        <v>9</v>
      </c>
      <c r="K324" s="116">
        <v>4303.49</v>
      </c>
      <c r="L324" s="55">
        <v>0</v>
      </c>
      <c r="M324" s="55">
        <v>0</v>
      </c>
    </row>
    <row r="325" spans="1:13" s="1" customFormat="1" ht="15.75" customHeight="1" x14ac:dyDescent="0.3">
      <c r="A325" s="160"/>
      <c r="B325" s="171"/>
      <c r="C325" s="160"/>
      <c r="D325" s="172" t="s">
        <v>50</v>
      </c>
      <c r="E325" s="172"/>
      <c r="F325" s="160" t="s">
        <v>13</v>
      </c>
      <c r="G325" s="165"/>
      <c r="H325" s="161">
        <f>I325+K325+L325+M325</f>
        <v>32734.880000000001</v>
      </c>
      <c r="I325" s="161">
        <v>0</v>
      </c>
      <c r="J325" s="68" t="s">
        <v>7</v>
      </c>
      <c r="K325" s="116">
        <f>K326</f>
        <v>0</v>
      </c>
      <c r="L325" s="55">
        <f>L326</f>
        <v>32734.880000000001</v>
      </c>
      <c r="M325" s="55">
        <f>M326</f>
        <v>0</v>
      </c>
    </row>
    <row r="326" spans="1:13" s="1" customFormat="1" ht="19.5" customHeight="1" x14ac:dyDescent="0.3">
      <c r="A326" s="160"/>
      <c r="B326" s="171"/>
      <c r="C326" s="160"/>
      <c r="D326" s="172"/>
      <c r="E326" s="172"/>
      <c r="F326" s="160"/>
      <c r="G326" s="164"/>
      <c r="H326" s="161"/>
      <c r="I326" s="161"/>
      <c r="J326" s="29" t="s">
        <v>9</v>
      </c>
      <c r="K326" s="116">
        <v>0</v>
      </c>
      <c r="L326" s="55">
        <v>32734.880000000001</v>
      </c>
      <c r="M326" s="55">
        <v>0</v>
      </c>
    </row>
    <row r="327" spans="1:13" s="1" customFormat="1" ht="31.5" customHeight="1" x14ac:dyDescent="0.3">
      <c r="A327" s="160" t="s">
        <v>179</v>
      </c>
      <c r="B327" s="171" t="s">
        <v>128</v>
      </c>
      <c r="C327" s="160" t="s">
        <v>238</v>
      </c>
      <c r="D327" s="172" t="s">
        <v>24</v>
      </c>
      <c r="E327" s="172" t="s">
        <v>12</v>
      </c>
      <c r="F327" s="160" t="s">
        <v>97</v>
      </c>
      <c r="G327" s="163" t="s">
        <v>265</v>
      </c>
      <c r="H327" s="181">
        <f>I327+K327+L327+M327</f>
        <v>3723.85</v>
      </c>
      <c r="I327" s="161">
        <v>0</v>
      </c>
      <c r="J327" s="29" t="s">
        <v>7</v>
      </c>
      <c r="K327" s="116">
        <f>K328</f>
        <v>3723.85</v>
      </c>
      <c r="L327" s="55">
        <f t="shared" ref="L327" si="86">L328</f>
        <v>0</v>
      </c>
      <c r="M327" s="55">
        <f t="shared" ref="M327" si="87">M328</f>
        <v>0</v>
      </c>
    </row>
    <row r="328" spans="1:13" s="1" customFormat="1" ht="15.6" x14ac:dyDescent="0.3">
      <c r="A328" s="160"/>
      <c r="B328" s="171"/>
      <c r="C328" s="160"/>
      <c r="D328" s="172"/>
      <c r="E328" s="172"/>
      <c r="F328" s="160"/>
      <c r="G328" s="165"/>
      <c r="H328" s="181"/>
      <c r="I328" s="161"/>
      <c r="J328" s="29" t="s">
        <v>9</v>
      </c>
      <c r="K328" s="116">
        <v>3723.85</v>
      </c>
      <c r="L328" s="55">
        <v>0</v>
      </c>
      <c r="M328" s="55">
        <v>0</v>
      </c>
    </row>
    <row r="329" spans="1:13" s="1" customFormat="1" ht="15.75" customHeight="1" x14ac:dyDescent="0.3">
      <c r="A329" s="160"/>
      <c r="B329" s="171"/>
      <c r="C329" s="160"/>
      <c r="D329" s="172" t="s">
        <v>50</v>
      </c>
      <c r="E329" s="172"/>
      <c r="F329" s="160" t="s">
        <v>13</v>
      </c>
      <c r="G329" s="165"/>
      <c r="H329" s="181">
        <f>I329+K329+L329+M329</f>
        <v>10379.17</v>
      </c>
      <c r="I329" s="161">
        <v>0</v>
      </c>
      <c r="J329" s="68" t="s">
        <v>7</v>
      </c>
      <c r="K329" s="116">
        <f>K330</f>
        <v>0</v>
      </c>
      <c r="L329" s="55">
        <f>L330</f>
        <v>0</v>
      </c>
      <c r="M329" s="55">
        <f>M330</f>
        <v>10379.17</v>
      </c>
    </row>
    <row r="330" spans="1:13" s="1" customFormat="1" ht="28.5" customHeight="1" x14ac:dyDescent="0.3">
      <c r="A330" s="160"/>
      <c r="B330" s="171"/>
      <c r="C330" s="160"/>
      <c r="D330" s="172"/>
      <c r="E330" s="172"/>
      <c r="F330" s="160"/>
      <c r="G330" s="164"/>
      <c r="H330" s="181"/>
      <c r="I330" s="161"/>
      <c r="J330" s="29" t="s">
        <v>9</v>
      </c>
      <c r="K330" s="116">
        <v>0</v>
      </c>
      <c r="L330" s="55">
        <v>0</v>
      </c>
      <c r="M330" s="55">
        <v>10379.17</v>
      </c>
    </row>
    <row r="331" spans="1:13" s="1" customFormat="1" ht="39" customHeight="1" x14ac:dyDescent="0.3">
      <c r="A331" s="160" t="s">
        <v>180</v>
      </c>
      <c r="B331" s="171" t="s">
        <v>129</v>
      </c>
      <c r="C331" s="160" t="s">
        <v>239</v>
      </c>
      <c r="D331" s="172" t="s">
        <v>24</v>
      </c>
      <c r="E331" s="172" t="s">
        <v>12</v>
      </c>
      <c r="F331" s="160" t="s">
        <v>97</v>
      </c>
      <c r="G331" s="163" t="s">
        <v>265</v>
      </c>
      <c r="H331" s="161">
        <f>I331+K331+L331+M331</f>
        <v>3811.47</v>
      </c>
      <c r="I331" s="161">
        <v>0</v>
      </c>
      <c r="J331" s="29" t="s">
        <v>7</v>
      </c>
      <c r="K331" s="116">
        <f>K332</f>
        <v>3811.47</v>
      </c>
      <c r="L331" s="55">
        <f t="shared" ref="L331" si="88">L332</f>
        <v>0</v>
      </c>
      <c r="M331" s="55">
        <f t="shared" ref="M331" si="89">M332</f>
        <v>0</v>
      </c>
    </row>
    <row r="332" spans="1:13" s="1" customFormat="1" ht="15.6" x14ac:dyDescent="0.3">
      <c r="A332" s="160"/>
      <c r="B332" s="171"/>
      <c r="C332" s="160"/>
      <c r="D332" s="172"/>
      <c r="E332" s="172"/>
      <c r="F332" s="160"/>
      <c r="G332" s="165"/>
      <c r="H332" s="161"/>
      <c r="I332" s="161"/>
      <c r="J332" s="29" t="s">
        <v>9</v>
      </c>
      <c r="K332" s="116">
        <v>3811.47</v>
      </c>
      <c r="L332" s="55">
        <v>0</v>
      </c>
      <c r="M332" s="55">
        <v>0</v>
      </c>
    </row>
    <row r="333" spans="1:13" s="1" customFormat="1" ht="15.75" customHeight="1" x14ac:dyDescent="0.3">
      <c r="A333" s="160"/>
      <c r="B333" s="171"/>
      <c r="C333" s="160"/>
      <c r="D333" s="172" t="s">
        <v>50</v>
      </c>
      <c r="E333" s="172"/>
      <c r="F333" s="160" t="s">
        <v>13</v>
      </c>
      <c r="G333" s="165"/>
      <c r="H333" s="161">
        <f>I333+K333+L333+M333</f>
        <v>16224.8</v>
      </c>
      <c r="I333" s="161">
        <v>0</v>
      </c>
      <c r="J333" s="68" t="s">
        <v>7</v>
      </c>
      <c r="K333" s="116">
        <f>K334</f>
        <v>0</v>
      </c>
      <c r="L333" s="55">
        <f>L334</f>
        <v>0</v>
      </c>
      <c r="M333" s="55">
        <f>M334</f>
        <v>16224.8</v>
      </c>
    </row>
    <row r="334" spans="1:13" s="1" customFormat="1" ht="28.5" customHeight="1" x14ac:dyDescent="0.3">
      <c r="A334" s="160"/>
      <c r="B334" s="171"/>
      <c r="C334" s="160"/>
      <c r="D334" s="172"/>
      <c r="E334" s="172"/>
      <c r="F334" s="160"/>
      <c r="G334" s="164"/>
      <c r="H334" s="161"/>
      <c r="I334" s="161"/>
      <c r="J334" s="29" t="s">
        <v>9</v>
      </c>
      <c r="K334" s="116">
        <v>0</v>
      </c>
      <c r="L334" s="55">
        <v>0</v>
      </c>
      <c r="M334" s="55">
        <v>16224.8</v>
      </c>
    </row>
    <row r="335" spans="1:13" s="1" customFormat="1" ht="39.75" customHeight="1" x14ac:dyDescent="0.3">
      <c r="A335" s="160" t="s">
        <v>181</v>
      </c>
      <c r="B335" s="171" t="s">
        <v>130</v>
      </c>
      <c r="C335" s="160" t="s">
        <v>240</v>
      </c>
      <c r="D335" s="172" t="s">
        <v>24</v>
      </c>
      <c r="E335" s="172" t="s">
        <v>12</v>
      </c>
      <c r="F335" s="160" t="s">
        <v>97</v>
      </c>
      <c r="G335" s="163" t="s">
        <v>85</v>
      </c>
      <c r="H335" s="181">
        <f>I335+K335+L335+M335</f>
        <v>3459.04</v>
      </c>
      <c r="I335" s="161">
        <v>0</v>
      </c>
      <c r="J335" s="29" t="s">
        <v>7</v>
      </c>
      <c r="K335" s="116">
        <f>K336</f>
        <v>3459.04</v>
      </c>
      <c r="L335" s="55">
        <f t="shared" ref="L335" si="90">L336</f>
        <v>0</v>
      </c>
      <c r="M335" s="55">
        <f t="shared" ref="M335" si="91">M336</f>
        <v>0</v>
      </c>
    </row>
    <row r="336" spans="1:13" s="1" customFormat="1" ht="15.6" x14ac:dyDescent="0.3">
      <c r="A336" s="160"/>
      <c r="B336" s="171"/>
      <c r="C336" s="160"/>
      <c r="D336" s="172"/>
      <c r="E336" s="172"/>
      <c r="F336" s="160"/>
      <c r="G336" s="165"/>
      <c r="H336" s="181"/>
      <c r="I336" s="161"/>
      <c r="J336" s="29" t="s">
        <v>9</v>
      </c>
      <c r="K336" s="116">
        <v>3459.04</v>
      </c>
      <c r="L336" s="55">
        <v>0</v>
      </c>
      <c r="M336" s="55">
        <v>0</v>
      </c>
    </row>
    <row r="337" spans="1:13" s="1" customFormat="1" ht="15.75" customHeight="1" x14ac:dyDescent="0.3">
      <c r="A337" s="160"/>
      <c r="B337" s="171"/>
      <c r="C337" s="160"/>
      <c r="D337" s="172" t="s">
        <v>50</v>
      </c>
      <c r="E337" s="172"/>
      <c r="F337" s="160" t="s">
        <v>13</v>
      </c>
      <c r="G337" s="165"/>
      <c r="H337" s="181">
        <f>I337+K337+L337+M337</f>
        <v>31529.51</v>
      </c>
      <c r="I337" s="161">
        <v>0</v>
      </c>
      <c r="J337" s="68" t="s">
        <v>7</v>
      </c>
      <c r="K337" s="116">
        <f>K338</f>
        <v>0</v>
      </c>
      <c r="L337" s="55">
        <f>L338</f>
        <v>31529.51</v>
      </c>
      <c r="M337" s="55">
        <f>M338</f>
        <v>0</v>
      </c>
    </row>
    <row r="338" spans="1:13" s="1" customFormat="1" ht="20.399999999999999" customHeight="1" x14ac:dyDescent="0.3">
      <c r="A338" s="160"/>
      <c r="B338" s="171"/>
      <c r="C338" s="160"/>
      <c r="D338" s="172"/>
      <c r="E338" s="172"/>
      <c r="F338" s="160"/>
      <c r="G338" s="164"/>
      <c r="H338" s="181"/>
      <c r="I338" s="161"/>
      <c r="J338" s="29" t="s">
        <v>9</v>
      </c>
      <c r="K338" s="116">
        <v>0</v>
      </c>
      <c r="L338" s="55">
        <v>31529.51</v>
      </c>
      <c r="M338" s="55">
        <v>0</v>
      </c>
    </row>
    <row r="339" spans="1:13" s="1" customFormat="1" ht="41.25" customHeight="1" x14ac:dyDescent="0.3">
      <c r="A339" s="160" t="s">
        <v>189</v>
      </c>
      <c r="B339" s="171" t="s">
        <v>131</v>
      </c>
      <c r="C339" s="160" t="s">
        <v>241</v>
      </c>
      <c r="D339" s="172" t="s">
        <v>24</v>
      </c>
      <c r="E339" s="172" t="s">
        <v>12</v>
      </c>
      <c r="F339" s="160" t="s">
        <v>97</v>
      </c>
      <c r="G339" s="163" t="s">
        <v>85</v>
      </c>
      <c r="H339" s="161">
        <f>I339+K339+L339+M339</f>
        <v>3811.47</v>
      </c>
      <c r="I339" s="161">
        <v>0</v>
      </c>
      <c r="J339" s="29" t="s">
        <v>7</v>
      </c>
      <c r="K339" s="116">
        <f>K340</f>
        <v>3811.47</v>
      </c>
      <c r="L339" s="55">
        <f t="shared" ref="L339" si="92">L340</f>
        <v>0</v>
      </c>
      <c r="M339" s="55">
        <f t="shared" ref="M339" si="93">M340</f>
        <v>0</v>
      </c>
    </row>
    <row r="340" spans="1:13" s="1" customFormat="1" ht="15.6" x14ac:dyDescent="0.3">
      <c r="A340" s="160"/>
      <c r="B340" s="171"/>
      <c r="C340" s="160"/>
      <c r="D340" s="172"/>
      <c r="E340" s="172"/>
      <c r="F340" s="160"/>
      <c r="G340" s="165"/>
      <c r="H340" s="161"/>
      <c r="I340" s="161"/>
      <c r="J340" s="29" t="s">
        <v>9</v>
      </c>
      <c r="K340" s="116">
        <v>3811.47</v>
      </c>
      <c r="L340" s="55">
        <v>0</v>
      </c>
      <c r="M340" s="55">
        <v>0</v>
      </c>
    </row>
    <row r="341" spans="1:13" s="1" customFormat="1" ht="15.75" customHeight="1" x14ac:dyDescent="0.3">
      <c r="A341" s="160"/>
      <c r="B341" s="171"/>
      <c r="C341" s="160"/>
      <c r="D341" s="172" t="s">
        <v>50</v>
      </c>
      <c r="E341" s="172"/>
      <c r="F341" s="160" t="s">
        <v>13</v>
      </c>
      <c r="G341" s="165"/>
      <c r="H341" s="161">
        <f>I341+K341+L341+M341</f>
        <v>9148.7999999999993</v>
      </c>
      <c r="I341" s="161">
        <v>0</v>
      </c>
      <c r="J341" s="68" t="s">
        <v>7</v>
      </c>
      <c r="K341" s="116">
        <f>K342</f>
        <v>0</v>
      </c>
      <c r="L341" s="55">
        <f>L342</f>
        <v>9148.7999999999993</v>
      </c>
      <c r="M341" s="55">
        <f>M342</f>
        <v>0</v>
      </c>
    </row>
    <row r="342" spans="1:13" s="1" customFormat="1" ht="18.600000000000001" customHeight="1" x14ac:dyDescent="0.3">
      <c r="A342" s="160"/>
      <c r="B342" s="171"/>
      <c r="C342" s="160"/>
      <c r="D342" s="172"/>
      <c r="E342" s="172"/>
      <c r="F342" s="160"/>
      <c r="G342" s="164"/>
      <c r="H342" s="161"/>
      <c r="I342" s="161"/>
      <c r="J342" s="29" t="s">
        <v>9</v>
      </c>
      <c r="K342" s="116">
        <v>0</v>
      </c>
      <c r="L342" s="55">
        <v>9148.7999999999993</v>
      </c>
      <c r="M342" s="55">
        <v>0</v>
      </c>
    </row>
    <row r="343" spans="1:13" s="1" customFormat="1" ht="50.25" customHeight="1" x14ac:dyDescent="0.3">
      <c r="A343" s="160" t="s">
        <v>190</v>
      </c>
      <c r="B343" s="171" t="s">
        <v>132</v>
      </c>
      <c r="C343" s="160" t="s">
        <v>242</v>
      </c>
      <c r="D343" s="172" t="s">
        <v>24</v>
      </c>
      <c r="E343" s="172" t="s">
        <v>12</v>
      </c>
      <c r="F343" s="160" t="s">
        <v>388</v>
      </c>
      <c r="G343" s="163" t="s">
        <v>85</v>
      </c>
      <c r="H343" s="181">
        <f>I343+K343+L343+M343</f>
        <v>7689.54</v>
      </c>
      <c r="I343" s="161">
        <v>0</v>
      </c>
      <c r="J343" s="29" t="s">
        <v>7</v>
      </c>
      <c r="K343" s="116">
        <f>K344</f>
        <v>7689.54</v>
      </c>
      <c r="L343" s="55">
        <f t="shared" ref="L343" si="94">L344</f>
        <v>0</v>
      </c>
      <c r="M343" s="55">
        <f t="shared" ref="M343" si="95">M344</f>
        <v>0</v>
      </c>
    </row>
    <row r="344" spans="1:13" s="1" customFormat="1" ht="15.6" x14ac:dyDescent="0.3">
      <c r="A344" s="160"/>
      <c r="B344" s="171"/>
      <c r="C344" s="160"/>
      <c r="D344" s="172"/>
      <c r="E344" s="172"/>
      <c r="F344" s="160"/>
      <c r="G344" s="165"/>
      <c r="H344" s="181"/>
      <c r="I344" s="161"/>
      <c r="J344" s="29" t="s">
        <v>9</v>
      </c>
      <c r="K344" s="116">
        <v>7689.54</v>
      </c>
      <c r="L344" s="55">
        <v>0</v>
      </c>
      <c r="M344" s="55">
        <v>0</v>
      </c>
    </row>
    <row r="345" spans="1:13" s="1" customFormat="1" ht="15.75" customHeight="1" x14ac:dyDescent="0.3">
      <c r="A345" s="160"/>
      <c r="B345" s="171"/>
      <c r="C345" s="160"/>
      <c r="D345" s="172" t="s">
        <v>50</v>
      </c>
      <c r="E345" s="172"/>
      <c r="F345" s="160" t="s">
        <v>13</v>
      </c>
      <c r="G345" s="165"/>
      <c r="H345" s="181">
        <f>I345+K345+L345+M345</f>
        <v>141.19999999999999</v>
      </c>
      <c r="I345" s="161">
        <v>0</v>
      </c>
      <c r="J345" s="68" t="s">
        <v>7</v>
      </c>
      <c r="K345" s="116">
        <f>K346</f>
        <v>141.19999999999999</v>
      </c>
      <c r="L345" s="55">
        <f>L346</f>
        <v>0</v>
      </c>
      <c r="M345" s="55">
        <f>M346</f>
        <v>0</v>
      </c>
    </row>
    <row r="346" spans="1:13" s="1" customFormat="1" ht="17.25" customHeight="1" x14ac:dyDescent="0.3">
      <c r="A346" s="160"/>
      <c r="B346" s="171"/>
      <c r="C346" s="160"/>
      <c r="D346" s="172"/>
      <c r="E346" s="172"/>
      <c r="F346" s="160"/>
      <c r="G346" s="164"/>
      <c r="H346" s="181"/>
      <c r="I346" s="161"/>
      <c r="J346" s="29" t="s">
        <v>9</v>
      </c>
      <c r="K346" s="116">
        <v>141.19999999999999</v>
      </c>
      <c r="L346" s="55">
        <v>0</v>
      </c>
      <c r="M346" s="55">
        <v>0</v>
      </c>
    </row>
    <row r="347" spans="1:13" s="1" customFormat="1" ht="50.25" customHeight="1" x14ac:dyDescent="0.3">
      <c r="A347" s="160" t="s">
        <v>191</v>
      </c>
      <c r="B347" s="171" t="s">
        <v>133</v>
      </c>
      <c r="C347" s="160" t="s">
        <v>243</v>
      </c>
      <c r="D347" s="172" t="s">
        <v>24</v>
      </c>
      <c r="E347" s="172" t="s">
        <v>12</v>
      </c>
      <c r="F347" s="160" t="s">
        <v>388</v>
      </c>
      <c r="G347" s="163" t="s">
        <v>85</v>
      </c>
      <c r="H347" s="161">
        <f>I347+K347+L347+M347</f>
        <v>9488.81</v>
      </c>
      <c r="I347" s="161">
        <v>0</v>
      </c>
      <c r="J347" s="29" t="s">
        <v>7</v>
      </c>
      <c r="K347" s="116">
        <f>K348</f>
        <v>9488.81</v>
      </c>
      <c r="L347" s="55">
        <f t="shared" ref="L347" si="96">L348</f>
        <v>0</v>
      </c>
      <c r="M347" s="55">
        <f t="shared" ref="M347" si="97">M348</f>
        <v>0</v>
      </c>
    </row>
    <row r="348" spans="1:13" s="1" customFormat="1" ht="15.6" x14ac:dyDescent="0.3">
      <c r="A348" s="160"/>
      <c r="B348" s="171"/>
      <c r="C348" s="160"/>
      <c r="D348" s="172"/>
      <c r="E348" s="172"/>
      <c r="F348" s="160"/>
      <c r="G348" s="165"/>
      <c r="H348" s="161"/>
      <c r="I348" s="161"/>
      <c r="J348" s="29" t="s">
        <v>9</v>
      </c>
      <c r="K348" s="116">
        <v>9488.81</v>
      </c>
      <c r="L348" s="55">
        <v>0</v>
      </c>
      <c r="M348" s="55">
        <v>0</v>
      </c>
    </row>
    <row r="349" spans="1:13" s="1" customFormat="1" ht="15.75" customHeight="1" x14ac:dyDescent="0.3">
      <c r="A349" s="160"/>
      <c r="B349" s="171"/>
      <c r="C349" s="160"/>
      <c r="D349" s="172" t="s">
        <v>50</v>
      </c>
      <c r="E349" s="172"/>
      <c r="F349" s="160" t="s">
        <v>13</v>
      </c>
      <c r="G349" s="165"/>
      <c r="H349" s="161">
        <f>I349+K349+L349+M349</f>
        <v>141.19999999999999</v>
      </c>
      <c r="I349" s="161">
        <v>0</v>
      </c>
      <c r="J349" s="68" t="s">
        <v>7</v>
      </c>
      <c r="K349" s="116">
        <f>K350</f>
        <v>141.19999999999999</v>
      </c>
      <c r="L349" s="55">
        <f>L350</f>
        <v>0</v>
      </c>
      <c r="M349" s="55">
        <f>M350</f>
        <v>0</v>
      </c>
    </row>
    <row r="350" spans="1:13" s="1" customFormat="1" ht="18.75" customHeight="1" x14ac:dyDescent="0.3">
      <c r="A350" s="160"/>
      <c r="B350" s="171"/>
      <c r="C350" s="160"/>
      <c r="D350" s="172"/>
      <c r="E350" s="172"/>
      <c r="F350" s="160"/>
      <c r="G350" s="164"/>
      <c r="H350" s="161"/>
      <c r="I350" s="161"/>
      <c r="J350" s="29" t="s">
        <v>9</v>
      </c>
      <c r="K350" s="116">
        <v>141.19999999999999</v>
      </c>
      <c r="L350" s="55">
        <v>0</v>
      </c>
      <c r="M350" s="55">
        <v>0</v>
      </c>
    </row>
    <row r="351" spans="1:13" s="1" customFormat="1" ht="50.25" customHeight="1" x14ac:dyDescent="0.3">
      <c r="A351" s="160" t="s">
        <v>192</v>
      </c>
      <c r="B351" s="171" t="s">
        <v>134</v>
      </c>
      <c r="C351" s="160" t="s">
        <v>244</v>
      </c>
      <c r="D351" s="172" t="s">
        <v>24</v>
      </c>
      <c r="E351" s="172" t="s">
        <v>12</v>
      </c>
      <c r="F351" s="160" t="s">
        <v>388</v>
      </c>
      <c r="G351" s="163" t="s">
        <v>85</v>
      </c>
      <c r="H351" s="181">
        <f>I351+K351+L351+M351</f>
        <v>6004.08</v>
      </c>
      <c r="I351" s="161">
        <v>0</v>
      </c>
      <c r="J351" s="29" t="s">
        <v>7</v>
      </c>
      <c r="K351" s="116">
        <f>K352</f>
        <v>6004.08</v>
      </c>
      <c r="L351" s="55">
        <f t="shared" ref="L351" si="98">L352</f>
        <v>0</v>
      </c>
      <c r="M351" s="55">
        <f t="shared" ref="M351" si="99">M352</f>
        <v>0</v>
      </c>
    </row>
    <row r="352" spans="1:13" s="1" customFormat="1" ht="15.6" x14ac:dyDescent="0.3">
      <c r="A352" s="160"/>
      <c r="B352" s="171"/>
      <c r="C352" s="160"/>
      <c r="D352" s="172"/>
      <c r="E352" s="172"/>
      <c r="F352" s="160"/>
      <c r="G352" s="165"/>
      <c r="H352" s="181"/>
      <c r="I352" s="161"/>
      <c r="J352" s="29" t="s">
        <v>9</v>
      </c>
      <c r="K352" s="116">
        <v>6004.08</v>
      </c>
      <c r="L352" s="55">
        <v>0</v>
      </c>
      <c r="M352" s="55">
        <v>0</v>
      </c>
    </row>
    <row r="353" spans="1:13" s="1" customFormat="1" ht="15.75" customHeight="1" x14ac:dyDescent="0.3">
      <c r="A353" s="160"/>
      <c r="B353" s="171"/>
      <c r="C353" s="160"/>
      <c r="D353" s="172" t="s">
        <v>50</v>
      </c>
      <c r="E353" s="172"/>
      <c r="F353" s="160" t="s">
        <v>13</v>
      </c>
      <c r="G353" s="165"/>
      <c r="H353" s="181">
        <f>I353+K353+L353+M353</f>
        <v>141.19999999999999</v>
      </c>
      <c r="I353" s="161">
        <v>0</v>
      </c>
      <c r="J353" s="68" t="s">
        <v>7</v>
      </c>
      <c r="K353" s="116">
        <f>K354</f>
        <v>141.19999999999999</v>
      </c>
      <c r="L353" s="55">
        <f>L354</f>
        <v>0</v>
      </c>
      <c r="M353" s="55">
        <f>M354</f>
        <v>0</v>
      </c>
    </row>
    <row r="354" spans="1:13" s="1" customFormat="1" ht="18" customHeight="1" x14ac:dyDescent="0.3">
      <c r="A354" s="160"/>
      <c r="B354" s="171"/>
      <c r="C354" s="160"/>
      <c r="D354" s="172"/>
      <c r="E354" s="172"/>
      <c r="F354" s="160"/>
      <c r="G354" s="164"/>
      <c r="H354" s="181"/>
      <c r="I354" s="161"/>
      <c r="J354" s="29" t="s">
        <v>9</v>
      </c>
      <c r="K354" s="116">
        <v>141.19999999999999</v>
      </c>
      <c r="L354" s="55">
        <v>0</v>
      </c>
      <c r="M354" s="55">
        <v>0</v>
      </c>
    </row>
    <row r="355" spans="1:13" s="1" customFormat="1" ht="50.25" customHeight="1" x14ac:dyDescent="0.3">
      <c r="A355" s="160" t="s">
        <v>193</v>
      </c>
      <c r="B355" s="171" t="s">
        <v>135</v>
      </c>
      <c r="C355" s="160" t="s">
        <v>245</v>
      </c>
      <c r="D355" s="172" t="s">
        <v>24</v>
      </c>
      <c r="E355" s="172" t="s">
        <v>12</v>
      </c>
      <c r="F355" s="160" t="s">
        <v>388</v>
      </c>
      <c r="G355" s="163" t="s">
        <v>85</v>
      </c>
      <c r="H355" s="181">
        <f>I355+K355+L355+M355</f>
        <v>6004.08</v>
      </c>
      <c r="I355" s="161">
        <v>0</v>
      </c>
      <c r="J355" s="29" t="s">
        <v>7</v>
      </c>
      <c r="K355" s="116">
        <f>K356</f>
        <v>6004.08</v>
      </c>
      <c r="L355" s="55">
        <f t="shared" ref="L355" si="100">L356</f>
        <v>0</v>
      </c>
      <c r="M355" s="55">
        <f t="shared" ref="M355" si="101">M356</f>
        <v>0</v>
      </c>
    </row>
    <row r="356" spans="1:13" s="1" customFormat="1" ht="15.6" x14ac:dyDescent="0.3">
      <c r="A356" s="160"/>
      <c r="B356" s="171"/>
      <c r="C356" s="160"/>
      <c r="D356" s="172"/>
      <c r="E356" s="172"/>
      <c r="F356" s="160"/>
      <c r="G356" s="165"/>
      <c r="H356" s="181"/>
      <c r="I356" s="161"/>
      <c r="J356" s="29" t="s">
        <v>9</v>
      </c>
      <c r="K356" s="116">
        <v>6004.08</v>
      </c>
      <c r="L356" s="55">
        <v>0</v>
      </c>
      <c r="M356" s="55">
        <v>0</v>
      </c>
    </row>
    <row r="357" spans="1:13" s="1" customFormat="1" ht="15.75" customHeight="1" x14ac:dyDescent="0.3">
      <c r="A357" s="160"/>
      <c r="B357" s="171"/>
      <c r="C357" s="160"/>
      <c r="D357" s="172" t="s">
        <v>50</v>
      </c>
      <c r="E357" s="172"/>
      <c r="F357" s="160" t="s">
        <v>13</v>
      </c>
      <c r="G357" s="165"/>
      <c r="H357" s="181">
        <f>I357+K357+L357+M357</f>
        <v>141.19999999999999</v>
      </c>
      <c r="I357" s="161">
        <v>0</v>
      </c>
      <c r="J357" s="68" t="s">
        <v>7</v>
      </c>
      <c r="K357" s="116">
        <f>K358</f>
        <v>141.19999999999999</v>
      </c>
      <c r="L357" s="55">
        <f>L358</f>
        <v>0</v>
      </c>
      <c r="M357" s="55">
        <f>M358</f>
        <v>0</v>
      </c>
    </row>
    <row r="358" spans="1:13" s="1" customFormat="1" ht="18.75" customHeight="1" x14ac:dyDescent="0.3">
      <c r="A358" s="160"/>
      <c r="B358" s="171"/>
      <c r="C358" s="160"/>
      <c r="D358" s="172"/>
      <c r="E358" s="172"/>
      <c r="F358" s="160"/>
      <c r="G358" s="164"/>
      <c r="H358" s="181"/>
      <c r="I358" s="161"/>
      <c r="J358" s="29" t="s">
        <v>9</v>
      </c>
      <c r="K358" s="116">
        <v>141.19999999999999</v>
      </c>
      <c r="L358" s="55">
        <v>0</v>
      </c>
      <c r="M358" s="55">
        <v>0</v>
      </c>
    </row>
    <row r="359" spans="1:13" s="1" customFormat="1" ht="50.25" customHeight="1" x14ac:dyDescent="0.3">
      <c r="A359" s="160" t="s">
        <v>268</v>
      </c>
      <c r="B359" s="171" t="s">
        <v>183</v>
      </c>
      <c r="C359" s="160" t="s">
        <v>246</v>
      </c>
      <c r="D359" s="172" t="s">
        <v>24</v>
      </c>
      <c r="E359" s="172" t="s">
        <v>12</v>
      </c>
      <c r="F359" s="160" t="s">
        <v>388</v>
      </c>
      <c r="G359" s="163" t="s">
        <v>111</v>
      </c>
      <c r="H359" s="161">
        <f>I359+K359+L359+M359</f>
        <v>5816.42</v>
      </c>
      <c r="I359" s="161">
        <v>0</v>
      </c>
      <c r="J359" s="29" t="s">
        <v>7</v>
      </c>
      <c r="K359" s="116">
        <f>K360</f>
        <v>0</v>
      </c>
      <c r="L359" s="55">
        <f t="shared" ref="L359" si="102">L360</f>
        <v>5816.42</v>
      </c>
      <c r="M359" s="55">
        <f t="shared" ref="M359" si="103">M360</f>
        <v>0</v>
      </c>
    </row>
    <row r="360" spans="1:13" s="1" customFormat="1" ht="15.6" x14ac:dyDescent="0.3">
      <c r="A360" s="160"/>
      <c r="B360" s="171"/>
      <c r="C360" s="160"/>
      <c r="D360" s="172"/>
      <c r="E360" s="172"/>
      <c r="F360" s="160"/>
      <c r="G360" s="165"/>
      <c r="H360" s="161"/>
      <c r="I360" s="161"/>
      <c r="J360" s="29" t="s">
        <v>9</v>
      </c>
      <c r="K360" s="116">
        <v>0</v>
      </c>
      <c r="L360" s="55">
        <v>5816.42</v>
      </c>
      <c r="M360" s="55">
        <v>0</v>
      </c>
    </row>
    <row r="361" spans="1:13" s="1" customFormat="1" ht="15.75" customHeight="1" x14ac:dyDescent="0.3">
      <c r="A361" s="160"/>
      <c r="B361" s="171"/>
      <c r="C361" s="160"/>
      <c r="D361" s="172" t="s">
        <v>50</v>
      </c>
      <c r="E361" s="172"/>
      <c r="F361" s="160" t="s">
        <v>13</v>
      </c>
      <c r="G361" s="165"/>
      <c r="H361" s="161">
        <f>I361+K361+L361+M361</f>
        <v>148.68</v>
      </c>
      <c r="I361" s="161">
        <v>0</v>
      </c>
      <c r="J361" s="68" t="s">
        <v>7</v>
      </c>
      <c r="K361" s="116">
        <f>K362</f>
        <v>0</v>
      </c>
      <c r="L361" s="55">
        <f>L362</f>
        <v>148.68</v>
      </c>
      <c r="M361" s="55">
        <f>M362</f>
        <v>0</v>
      </c>
    </row>
    <row r="362" spans="1:13" s="1" customFormat="1" ht="19.5" customHeight="1" x14ac:dyDescent="0.3">
      <c r="A362" s="160"/>
      <c r="B362" s="171"/>
      <c r="C362" s="160"/>
      <c r="D362" s="172"/>
      <c r="E362" s="172"/>
      <c r="F362" s="160"/>
      <c r="G362" s="164"/>
      <c r="H362" s="161"/>
      <c r="I362" s="161"/>
      <c r="J362" s="29" t="s">
        <v>9</v>
      </c>
      <c r="K362" s="116">
        <v>0</v>
      </c>
      <c r="L362" s="55">
        <v>148.68</v>
      </c>
      <c r="M362" s="55">
        <v>0</v>
      </c>
    </row>
    <row r="363" spans="1:13" s="1" customFormat="1" ht="50.25" customHeight="1" x14ac:dyDescent="0.3">
      <c r="A363" s="160" t="s">
        <v>269</v>
      </c>
      <c r="B363" s="171" t="s">
        <v>136</v>
      </c>
      <c r="C363" s="160" t="s">
        <v>247</v>
      </c>
      <c r="D363" s="172" t="s">
        <v>24</v>
      </c>
      <c r="E363" s="172" t="s">
        <v>12</v>
      </c>
      <c r="F363" s="160" t="s">
        <v>388</v>
      </c>
      <c r="G363" s="163" t="s">
        <v>111</v>
      </c>
      <c r="H363" s="161">
        <f>I363+K363+L363+M363</f>
        <v>8114.04</v>
      </c>
      <c r="I363" s="161">
        <v>0</v>
      </c>
      <c r="J363" s="29" t="s">
        <v>7</v>
      </c>
      <c r="K363" s="116">
        <f>K364</f>
        <v>0</v>
      </c>
      <c r="L363" s="55">
        <f t="shared" ref="L363" si="104">L364</f>
        <v>8114.04</v>
      </c>
      <c r="M363" s="55">
        <f t="shared" ref="M363" si="105">M364</f>
        <v>0</v>
      </c>
    </row>
    <row r="364" spans="1:13" s="1" customFormat="1" ht="15.6" x14ac:dyDescent="0.3">
      <c r="A364" s="160"/>
      <c r="B364" s="171"/>
      <c r="C364" s="160"/>
      <c r="D364" s="172"/>
      <c r="E364" s="172"/>
      <c r="F364" s="160"/>
      <c r="G364" s="165"/>
      <c r="H364" s="161"/>
      <c r="I364" s="161"/>
      <c r="J364" s="29" t="s">
        <v>9</v>
      </c>
      <c r="K364" s="116">
        <v>0</v>
      </c>
      <c r="L364" s="55">
        <v>8114.04</v>
      </c>
      <c r="M364" s="55">
        <v>0</v>
      </c>
    </row>
    <row r="365" spans="1:13" s="1" customFormat="1" ht="15.75" customHeight="1" x14ac:dyDescent="0.3">
      <c r="A365" s="160"/>
      <c r="B365" s="171"/>
      <c r="C365" s="160"/>
      <c r="D365" s="172" t="s">
        <v>50</v>
      </c>
      <c r="E365" s="172"/>
      <c r="F365" s="160" t="s">
        <v>13</v>
      </c>
      <c r="G365" s="165"/>
      <c r="H365" s="161">
        <f>I365+K365+L365+M365</f>
        <v>148.68</v>
      </c>
      <c r="I365" s="161">
        <v>0</v>
      </c>
      <c r="J365" s="68" t="s">
        <v>7</v>
      </c>
      <c r="K365" s="116">
        <f>K366</f>
        <v>0</v>
      </c>
      <c r="L365" s="55">
        <f>L366</f>
        <v>148.68</v>
      </c>
      <c r="M365" s="55">
        <f>M366</f>
        <v>0</v>
      </c>
    </row>
    <row r="366" spans="1:13" s="1" customFormat="1" ht="17.25" customHeight="1" x14ac:dyDescent="0.3">
      <c r="A366" s="160"/>
      <c r="B366" s="171"/>
      <c r="C366" s="160"/>
      <c r="D366" s="172"/>
      <c r="E366" s="172"/>
      <c r="F366" s="160"/>
      <c r="G366" s="164"/>
      <c r="H366" s="161"/>
      <c r="I366" s="161"/>
      <c r="J366" s="29" t="s">
        <v>9</v>
      </c>
      <c r="K366" s="116">
        <v>0</v>
      </c>
      <c r="L366" s="55">
        <v>148.68</v>
      </c>
      <c r="M366" s="55">
        <v>0</v>
      </c>
    </row>
    <row r="367" spans="1:13" s="1" customFormat="1" ht="50.25" customHeight="1" x14ac:dyDescent="0.3">
      <c r="A367" s="160" t="s">
        <v>301</v>
      </c>
      <c r="B367" s="171" t="s">
        <v>137</v>
      </c>
      <c r="C367" s="160" t="s">
        <v>248</v>
      </c>
      <c r="D367" s="172" t="s">
        <v>24</v>
      </c>
      <c r="E367" s="172" t="s">
        <v>12</v>
      </c>
      <c r="F367" s="160" t="s">
        <v>388</v>
      </c>
      <c r="G367" s="163" t="s">
        <v>111</v>
      </c>
      <c r="H367" s="181">
        <f>I367+K367+L367+M367</f>
        <v>10222.280000000001</v>
      </c>
      <c r="I367" s="161">
        <v>0</v>
      </c>
      <c r="J367" s="29" t="s">
        <v>7</v>
      </c>
      <c r="K367" s="116">
        <f>K368</f>
        <v>0</v>
      </c>
      <c r="L367" s="55">
        <f t="shared" ref="L367" si="106">L368</f>
        <v>10222.280000000001</v>
      </c>
      <c r="M367" s="55">
        <f t="shared" ref="M367" si="107">M368</f>
        <v>0</v>
      </c>
    </row>
    <row r="368" spans="1:13" s="1" customFormat="1" ht="15.6" x14ac:dyDescent="0.3">
      <c r="A368" s="160"/>
      <c r="B368" s="171"/>
      <c r="C368" s="160"/>
      <c r="D368" s="172"/>
      <c r="E368" s="172"/>
      <c r="F368" s="160"/>
      <c r="G368" s="165"/>
      <c r="H368" s="181"/>
      <c r="I368" s="161"/>
      <c r="J368" s="29" t="s">
        <v>9</v>
      </c>
      <c r="K368" s="116">
        <v>0</v>
      </c>
      <c r="L368" s="55">
        <v>10222.280000000001</v>
      </c>
      <c r="M368" s="55">
        <v>0</v>
      </c>
    </row>
    <row r="369" spans="1:14" s="1" customFormat="1" ht="15.75" customHeight="1" x14ac:dyDescent="0.3">
      <c r="A369" s="160"/>
      <c r="B369" s="171"/>
      <c r="C369" s="160"/>
      <c r="D369" s="172" t="s">
        <v>50</v>
      </c>
      <c r="E369" s="172"/>
      <c r="F369" s="160" t="s">
        <v>13</v>
      </c>
      <c r="G369" s="165"/>
      <c r="H369" s="181">
        <f>I369+K369+L369+M369</f>
        <v>148.68</v>
      </c>
      <c r="I369" s="161">
        <v>0</v>
      </c>
      <c r="J369" s="68" t="s">
        <v>7</v>
      </c>
      <c r="K369" s="116">
        <f>K370</f>
        <v>0</v>
      </c>
      <c r="L369" s="55">
        <f>L370</f>
        <v>148.68</v>
      </c>
      <c r="M369" s="55">
        <f>M370</f>
        <v>0</v>
      </c>
    </row>
    <row r="370" spans="1:14" s="1" customFormat="1" ht="18.75" customHeight="1" x14ac:dyDescent="0.3">
      <c r="A370" s="160"/>
      <c r="B370" s="171"/>
      <c r="C370" s="160"/>
      <c r="D370" s="172"/>
      <c r="E370" s="172"/>
      <c r="F370" s="160"/>
      <c r="G370" s="164"/>
      <c r="H370" s="181"/>
      <c r="I370" s="161"/>
      <c r="J370" s="29" t="s">
        <v>9</v>
      </c>
      <c r="K370" s="116">
        <v>0</v>
      </c>
      <c r="L370" s="55">
        <v>148.68</v>
      </c>
      <c r="M370" s="55">
        <v>0</v>
      </c>
    </row>
    <row r="371" spans="1:14" s="1" customFormat="1" ht="50.25" customHeight="1" x14ac:dyDescent="0.3">
      <c r="A371" s="160" t="s">
        <v>306</v>
      </c>
      <c r="B371" s="171" t="s">
        <v>138</v>
      </c>
      <c r="C371" s="160" t="s">
        <v>249</v>
      </c>
      <c r="D371" s="172" t="s">
        <v>24</v>
      </c>
      <c r="E371" s="172" t="s">
        <v>12</v>
      </c>
      <c r="F371" s="160" t="s">
        <v>388</v>
      </c>
      <c r="G371" s="163" t="s">
        <v>111</v>
      </c>
      <c r="H371" s="161">
        <f>I371+K371+L371+M371</f>
        <v>7707.86</v>
      </c>
      <c r="I371" s="161">
        <v>0</v>
      </c>
      <c r="J371" s="29" t="s">
        <v>7</v>
      </c>
      <c r="K371" s="116">
        <f>K372</f>
        <v>0</v>
      </c>
      <c r="L371" s="55">
        <f t="shared" ref="L371" si="108">L372</f>
        <v>7707.86</v>
      </c>
      <c r="M371" s="55">
        <f t="shared" ref="M371" si="109">M372</f>
        <v>0</v>
      </c>
    </row>
    <row r="372" spans="1:14" s="1" customFormat="1" ht="15.6" x14ac:dyDescent="0.3">
      <c r="A372" s="160"/>
      <c r="B372" s="171"/>
      <c r="C372" s="160"/>
      <c r="D372" s="172"/>
      <c r="E372" s="172"/>
      <c r="F372" s="160"/>
      <c r="G372" s="165"/>
      <c r="H372" s="161"/>
      <c r="I372" s="161"/>
      <c r="J372" s="29" t="s">
        <v>9</v>
      </c>
      <c r="K372" s="116">
        <v>0</v>
      </c>
      <c r="L372" s="55">
        <v>7707.86</v>
      </c>
      <c r="M372" s="55">
        <v>0</v>
      </c>
    </row>
    <row r="373" spans="1:14" s="1" customFormat="1" ht="15.75" customHeight="1" x14ac:dyDescent="0.3">
      <c r="A373" s="160"/>
      <c r="B373" s="171"/>
      <c r="C373" s="160"/>
      <c r="D373" s="172" t="s">
        <v>50</v>
      </c>
      <c r="E373" s="172"/>
      <c r="F373" s="160" t="s">
        <v>13</v>
      </c>
      <c r="G373" s="165"/>
      <c r="H373" s="161">
        <f>I373+K373+L373+M373</f>
        <v>148.68</v>
      </c>
      <c r="I373" s="161">
        <v>0</v>
      </c>
      <c r="J373" s="68" t="s">
        <v>7</v>
      </c>
      <c r="K373" s="116">
        <f>K374</f>
        <v>0</v>
      </c>
      <c r="L373" s="55">
        <f>L374</f>
        <v>148.68</v>
      </c>
      <c r="M373" s="55">
        <f>M374</f>
        <v>0</v>
      </c>
    </row>
    <row r="374" spans="1:14" s="1" customFormat="1" ht="19.5" customHeight="1" x14ac:dyDescent="0.3">
      <c r="A374" s="160"/>
      <c r="B374" s="171"/>
      <c r="C374" s="160"/>
      <c r="D374" s="172"/>
      <c r="E374" s="172"/>
      <c r="F374" s="160"/>
      <c r="G374" s="164"/>
      <c r="H374" s="161"/>
      <c r="I374" s="161"/>
      <c r="J374" s="29" t="s">
        <v>9</v>
      </c>
      <c r="K374" s="116">
        <v>0</v>
      </c>
      <c r="L374" s="55">
        <v>148.68</v>
      </c>
      <c r="M374" s="55">
        <v>0</v>
      </c>
    </row>
    <row r="375" spans="1:14" s="1" customFormat="1" ht="50.25" customHeight="1" x14ac:dyDescent="0.3">
      <c r="A375" s="160" t="s">
        <v>307</v>
      </c>
      <c r="B375" s="171" t="s">
        <v>184</v>
      </c>
      <c r="C375" s="160" t="s">
        <v>250</v>
      </c>
      <c r="D375" s="153" t="s">
        <v>24</v>
      </c>
      <c r="E375" s="172" t="s">
        <v>12</v>
      </c>
      <c r="F375" s="160" t="s">
        <v>97</v>
      </c>
      <c r="G375" s="160">
        <v>2025</v>
      </c>
      <c r="H375" s="161">
        <f>I375+K375+L375+M375</f>
        <v>2809.79</v>
      </c>
      <c r="I375" s="161">
        <v>0</v>
      </c>
      <c r="J375" s="29" t="s">
        <v>7</v>
      </c>
      <c r="K375" s="152">
        <f>K376</f>
        <v>2809.79</v>
      </c>
      <c r="L375" s="55">
        <f t="shared" ref="L375" si="110">L376</f>
        <v>0</v>
      </c>
      <c r="M375" s="55">
        <f t="shared" ref="M375" si="111">M376</f>
        <v>0</v>
      </c>
    </row>
    <row r="376" spans="1:14" s="1" customFormat="1" ht="15.6" x14ac:dyDescent="0.3">
      <c r="A376" s="160"/>
      <c r="B376" s="171"/>
      <c r="C376" s="160"/>
      <c r="D376" s="153" t="s">
        <v>50</v>
      </c>
      <c r="E376" s="172"/>
      <c r="F376" s="160"/>
      <c r="G376" s="160"/>
      <c r="H376" s="161"/>
      <c r="I376" s="161"/>
      <c r="J376" s="29" t="s">
        <v>9</v>
      </c>
      <c r="K376" s="152">
        <v>2809.79</v>
      </c>
      <c r="L376" s="55">
        <v>0</v>
      </c>
      <c r="M376" s="55">
        <v>0</v>
      </c>
    </row>
    <row r="377" spans="1:14" s="1" customFormat="1" ht="15.75" hidden="1" customHeight="1" x14ac:dyDescent="0.3">
      <c r="A377" s="160"/>
      <c r="B377" s="171"/>
      <c r="C377" s="160"/>
      <c r="D377" s="172" t="s">
        <v>50</v>
      </c>
      <c r="E377" s="172"/>
      <c r="F377" s="160" t="s">
        <v>11</v>
      </c>
      <c r="G377" s="160"/>
      <c r="H377" s="161">
        <f>I377+K377+L377+M377</f>
        <v>0</v>
      </c>
      <c r="I377" s="183">
        <v>0</v>
      </c>
      <c r="J377" s="154" t="s">
        <v>7</v>
      </c>
      <c r="K377" s="152">
        <f>K378</f>
        <v>0</v>
      </c>
      <c r="L377" s="152">
        <f>L378</f>
        <v>0</v>
      </c>
      <c r="M377" s="152">
        <f>M378</f>
        <v>0</v>
      </c>
    </row>
    <row r="378" spans="1:14" s="1" customFormat="1" ht="28.5" hidden="1" customHeight="1" x14ac:dyDescent="0.3">
      <c r="A378" s="160"/>
      <c r="B378" s="171"/>
      <c r="C378" s="160"/>
      <c r="D378" s="172"/>
      <c r="E378" s="172"/>
      <c r="F378" s="160"/>
      <c r="G378" s="160"/>
      <c r="H378" s="161"/>
      <c r="I378" s="183"/>
      <c r="J378" s="155" t="s">
        <v>9</v>
      </c>
      <c r="K378" s="152">
        <v>0</v>
      </c>
      <c r="L378" s="152">
        <v>0</v>
      </c>
      <c r="M378" s="152">
        <v>0</v>
      </c>
    </row>
    <row r="379" spans="1:14" s="1" customFormat="1" ht="50.25" customHeight="1" x14ac:dyDescent="0.3">
      <c r="A379" s="160" t="s">
        <v>308</v>
      </c>
      <c r="B379" s="171" t="s">
        <v>340</v>
      </c>
      <c r="C379" s="160" t="s">
        <v>343</v>
      </c>
      <c r="D379" s="172" t="s">
        <v>24</v>
      </c>
      <c r="E379" s="172" t="s">
        <v>12</v>
      </c>
      <c r="F379" s="160" t="s">
        <v>388</v>
      </c>
      <c r="G379" s="163" t="s">
        <v>111</v>
      </c>
      <c r="H379" s="161">
        <f>I379+K379+L379+M379</f>
        <v>6358.98</v>
      </c>
      <c r="I379" s="161">
        <v>0</v>
      </c>
      <c r="J379" s="29" t="s">
        <v>7</v>
      </c>
      <c r="K379" s="137">
        <f>K380</f>
        <v>0</v>
      </c>
      <c r="L379" s="55">
        <f t="shared" ref="L379:M379" si="112">L380</f>
        <v>6358.98</v>
      </c>
      <c r="M379" s="55">
        <f t="shared" si="112"/>
        <v>0</v>
      </c>
    </row>
    <row r="380" spans="1:14" s="1" customFormat="1" ht="15.6" x14ac:dyDescent="0.3">
      <c r="A380" s="160"/>
      <c r="B380" s="171"/>
      <c r="C380" s="160"/>
      <c r="D380" s="172"/>
      <c r="E380" s="172"/>
      <c r="F380" s="160"/>
      <c r="G380" s="165"/>
      <c r="H380" s="161"/>
      <c r="I380" s="161"/>
      <c r="J380" s="29" t="s">
        <v>9</v>
      </c>
      <c r="K380" s="137">
        <v>0</v>
      </c>
      <c r="L380" s="146">
        <v>6358.98</v>
      </c>
      <c r="M380" s="55">
        <v>0</v>
      </c>
    </row>
    <row r="381" spans="1:14" s="1" customFormat="1" ht="15.75" customHeight="1" x14ac:dyDescent="0.3">
      <c r="A381" s="160"/>
      <c r="B381" s="171"/>
      <c r="C381" s="160"/>
      <c r="D381" s="172" t="s">
        <v>50</v>
      </c>
      <c r="E381" s="172"/>
      <c r="F381" s="160" t="s">
        <v>11</v>
      </c>
      <c r="G381" s="165"/>
      <c r="H381" s="161">
        <f>I381+K381+L381+M381</f>
        <v>90.2</v>
      </c>
      <c r="I381" s="161">
        <v>0</v>
      </c>
      <c r="J381" s="136" t="s">
        <v>7</v>
      </c>
      <c r="K381" s="137">
        <f>K382</f>
        <v>0</v>
      </c>
      <c r="L381" s="146">
        <f>L382</f>
        <v>90.2</v>
      </c>
      <c r="M381" s="55">
        <f>M382</f>
        <v>0</v>
      </c>
    </row>
    <row r="382" spans="1:14" s="1" customFormat="1" ht="19.5" customHeight="1" x14ac:dyDescent="0.3">
      <c r="A382" s="160"/>
      <c r="B382" s="171"/>
      <c r="C382" s="160"/>
      <c r="D382" s="172"/>
      <c r="E382" s="172"/>
      <c r="F382" s="160"/>
      <c r="G382" s="164"/>
      <c r="H382" s="161"/>
      <c r="I382" s="161"/>
      <c r="J382" s="29" t="s">
        <v>9</v>
      </c>
      <c r="K382" s="137">
        <v>0</v>
      </c>
      <c r="L382" s="146">
        <v>90.2</v>
      </c>
      <c r="M382" s="55">
        <v>0</v>
      </c>
    </row>
    <row r="383" spans="1:14" s="1" customFormat="1" ht="15.75" customHeight="1" x14ac:dyDescent="0.3">
      <c r="A383" s="163" t="s">
        <v>309</v>
      </c>
      <c r="B383" s="166" t="s">
        <v>385</v>
      </c>
      <c r="C383" s="163" t="s">
        <v>386</v>
      </c>
      <c r="D383" s="151" t="s">
        <v>24</v>
      </c>
      <c r="E383" s="157" t="s">
        <v>12</v>
      </c>
      <c r="F383" s="160" t="s">
        <v>388</v>
      </c>
      <c r="G383" s="163" t="s">
        <v>111</v>
      </c>
      <c r="H383" s="161">
        <f>I383+K383+L383+M383</f>
        <v>2940.98</v>
      </c>
      <c r="I383" s="156">
        <v>0</v>
      </c>
      <c r="J383" s="149" t="s">
        <v>7</v>
      </c>
      <c r="K383" s="150">
        <f>K384</f>
        <v>0</v>
      </c>
      <c r="L383" s="55">
        <f>L384</f>
        <v>2940.98</v>
      </c>
      <c r="M383" s="55">
        <f>M384</f>
        <v>0</v>
      </c>
    </row>
    <row r="384" spans="1:14" s="1" customFormat="1" ht="46.8" customHeight="1" x14ac:dyDescent="0.3">
      <c r="A384" s="165"/>
      <c r="B384" s="167"/>
      <c r="C384" s="165"/>
      <c r="D384" s="151" t="s">
        <v>50</v>
      </c>
      <c r="E384" s="158"/>
      <c r="F384" s="160"/>
      <c r="G384" s="165"/>
      <c r="H384" s="161"/>
      <c r="I384" s="156"/>
      <c r="J384" s="29" t="s">
        <v>9</v>
      </c>
      <c r="K384" s="150">
        <v>0</v>
      </c>
      <c r="L384" s="55">
        <v>2940.98</v>
      </c>
      <c r="M384" s="55">
        <v>0</v>
      </c>
      <c r="N384" s="13"/>
    </row>
    <row r="385" spans="1:14" s="1" customFormat="1" ht="15.75" hidden="1" customHeight="1" x14ac:dyDescent="0.3">
      <c r="A385" s="165"/>
      <c r="B385" s="167"/>
      <c r="C385" s="165"/>
      <c r="D385" s="157" t="s">
        <v>50</v>
      </c>
      <c r="E385" s="158"/>
      <c r="F385" s="160" t="s">
        <v>11</v>
      </c>
      <c r="G385" s="165"/>
      <c r="H385" s="161">
        <f>I385+K385+L385+M385</f>
        <v>0</v>
      </c>
      <c r="I385" s="156">
        <v>0</v>
      </c>
      <c r="J385" s="149" t="s">
        <v>7</v>
      </c>
      <c r="K385" s="150">
        <f>K387</f>
        <v>0</v>
      </c>
      <c r="L385" s="55">
        <f>L387</f>
        <v>0</v>
      </c>
      <c r="M385" s="55">
        <f>M387</f>
        <v>0</v>
      </c>
    </row>
    <row r="386" spans="1:14" s="1" customFormat="1" ht="15.75" hidden="1" customHeight="1" x14ac:dyDescent="0.3">
      <c r="A386" s="165"/>
      <c r="B386" s="167"/>
      <c r="C386" s="165"/>
      <c r="D386" s="158"/>
      <c r="E386" s="158"/>
      <c r="F386" s="160"/>
      <c r="G386" s="165"/>
      <c r="H386" s="161"/>
      <c r="I386" s="156"/>
      <c r="J386" s="149" t="s">
        <v>8</v>
      </c>
      <c r="K386" s="150">
        <v>0</v>
      </c>
      <c r="L386" s="55">
        <v>0</v>
      </c>
      <c r="M386" s="55">
        <v>0</v>
      </c>
    </row>
    <row r="387" spans="1:14" s="1" customFormat="1" ht="15.6" hidden="1" x14ac:dyDescent="0.3">
      <c r="A387" s="164"/>
      <c r="B387" s="168"/>
      <c r="C387" s="164"/>
      <c r="D387" s="159"/>
      <c r="E387" s="159"/>
      <c r="F387" s="160"/>
      <c r="G387" s="164"/>
      <c r="H387" s="161"/>
      <c r="I387" s="156"/>
      <c r="J387" s="29" t="s">
        <v>9</v>
      </c>
      <c r="K387" s="150">
        <v>0</v>
      </c>
      <c r="L387" s="55">
        <v>0</v>
      </c>
      <c r="M387" s="55"/>
    </row>
    <row r="388" spans="1:14" s="1" customFormat="1" ht="28.5" customHeight="1" x14ac:dyDescent="0.3">
      <c r="A388" s="157" t="s">
        <v>357</v>
      </c>
      <c r="B388" s="166" t="s">
        <v>254</v>
      </c>
      <c r="C388" s="163" t="s">
        <v>390</v>
      </c>
      <c r="D388" s="157" t="s">
        <v>24</v>
      </c>
      <c r="E388" s="157" t="s">
        <v>12</v>
      </c>
      <c r="F388" s="163" t="s">
        <v>282</v>
      </c>
      <c r="G388" s="163" t="s">
        <v>83</v>
      </c>
      <c r="H388" s="169">
        <f>I388+K388+L388+M388</f>
        <v>1740.42</v>
      </c>
      <c r="I388" s="169">
        <v>0</v>
      </c>
      <c r="J388" s="111" t="s">
        <v>7</v>
      </c>
      <c r="K388" s="146">
        <f>K389</f>
        <v>1740.42</v>
      </c>
      <c r="L388" s="146">
        <f t="shared" ref="L388:M388" si="113">L389</f>
        <v>0</v>
      </c>
      <c r="M388" s="110">
        <f t="shared" si="113"/>
        <v>0</v>
      </c>
    </row>
    <row r="389" spans="1:14" s="1" customFormat="1" ht="28.5" customHeight="1" x14ac:dyDescent="0.3">
      <c r="A389" s="158"/>
      <c r="B389" s="167"/>
      <c r="C389" s="165"/>
      <c r="D389" s="159"/>
      <c r="E389" s="158"/>
      <c r="F389" s="164"/>
      <c r="G389" s="165"/>
      <c r="H389" s="170"/>
      <c r="I389" s="170"/>
      <c r="J389" s="111" t="s">
        <v>9</v>
      </c>
      <c r="K389" s="146">
        <v>1740.42</v>
      </c>
      <c r="L389" s="146">
        <v>0</v>
      </c>
      <c r="M389" s="110">
        <v>0</v>
      </c>
    </row>
    <row r="390" spans="1:14" s="1" customFormat="1" ht="22.5" customHeight="1" x14ac:dyDescent="0.3">
      <c r="A390" s="158"/>
      <c r="B390" s="167"/>
      <c r="C390" s="165"/>
      <c r="D390" s="157" t="s">
        <v>50</v>
      </c>
      <c r="E390" s="158"/>
      <c r="F390" s="160" t="s">
        <v>11</v>
      </c>
      <c r="G390" s="165"/>
      <c r="H390" s="161">
        <f>I390+K390+L390+M390</f>
        <v>39983.240000000005</v>
      </c>
      <c r="I390" s="161">
        <v>0</v>
      </c>
      <c r="J390" s="29" t="s">
        <v>7</v>
      </c>
      <c r="K390" s="146">
        <f>K391</f>
        <v>38996.800000000003</v>
      </c>
      <c r="L390" s="146">
        <f t="shared" ref="L390:M390" si="114">L391</f>
        <v>986.44</v>
      </c>
      <c r="M390" s="55">
        <f t="shared" si="114"/>
        <v>0</v>
      </c>
    </row>
    <row r="391" spans="1:14" s="1" customFormat="1" ht="18" customHeight="1" x14ac:dyDescent="0.3">
      <c r="A391" s="159"/>
      <c r="B391" s="168"/>
      <c r="C391" s="164"/>
      <c r="D391" s="159"/>
      <c r="E391" s="159"/>
      <c r="F391" s="160"/>
      <c r="G391" s="164"/>
      <c r="H391" s="160"/>
      <c r="I391" s="161"/>
      <c r="J391" s="29" t="s">
        <v>9</v>
      </c>
      <c r="K391" s="146">
        <v>38996.800000000003</v>
      </c>
      <c r="L391" s="146">
        <v>986.44</v>
      </c>
      <c r="M391" s="55">
        <v>0</v>
      </c>
    </row>
    <row r="392" spans="1:14" s="1" customFormat="1" ht="21.75" customHeight="1" x14ac:dyDescent="0.3">
      <c r="A392" s="160" t="s">
        <v>358</v>
      </c>
      <c r="B392" s="171" t="s">
        <v>320</v>
      </c>
      <c r="C392" s="160" t="s">
        <v>251</v>
      </c>
      <c r="D392" s="69" t="s">
        <v>24</v>
      </c>
      <c r="E392" s="172" t="s">
        <v>12</v>
      </c>
      <c r="F392" s="163" t="s">
        <v>11</v>
      </c>
      <c r="G392" s="163" t="s">
        <v>85</v>
      </c>
      <c r="H392" s="169">
        <f>I392+K392+L392+M392</f>
        <v>459405.35</v>
      </c>
      <c r="I392" s="169">
        <v>0</v>
      </c>
      <c r="J392" s="29" t="s">
        <v>7</v>
      </c>
      <c r="K392" s="19">
        <f>K394</f>
        <v>141895.79999999999</v>
      </c>
      <c r="L392" s="7">
        <f>L394</f>
        <v>317509.55</v>
      </c>
      <c r="M392" s="7">
        <f>M394</f>
        <v>0</v>
      </c>
    </row>
    <row r="393" spans="1:14" s="1" customFormat="1" ht="15.75" hidden="1" customHeight="1" x14ac:dyDescent="0.3">
      <c r="A393" s="160"/>
      <c r="B393" s="171"/>
      <c r="C393" s="160"/>
      <c r="D393" s="172" t="s">
        <v>262</v>
      </c>
      <c r="E393" s="172"/>
      <c r="F393" s="165"/>
      <c r="G393" s="165"/>
      <c r="H393" s="176"/>
      <c r="I393" s="176"/>
      <c r="J393" s="29" t="s">
        <v>8</v>
      </c>
      <c r="K393" s="19">
        <v>0</v>
      </c>
      <c r="L393" s="7">
        <v>0</v>
      </c>
      <c r="M393" s="7">
        <v>0</v>
      </c>
    </row>
    <row r="394" spans="1:14" s="1" customFormat="1" ht="156" customHeight="1" x14ac:dyDescent="0.3">
      <c r="A394" s="160"/>
      <c r="B394" s="171"/>
      <c r="C394" s="160"/>
      <c r="D394" s="172"/>
      <c r="E394" s="172"/>
      <c r="F394" s="164"/>
      <c r="G394" s="164"/>
      <c r="H394" s="170"/>
      <c r="I394" s="170"/>
      <c r="J394" s="29" t="s">
        <v>9</v>
      </c>
      <c r="K394" s="116">
        <v>141895.79999999999</v>
      </c>
      <c r="L394" s="77">
        <v>317509.55</v>
      </c>
      <c r="M394" s="55">
        <v>0</v>
      </c>
    </row>
    <row r="395" spans="1:14" s="6" customFormat="1" ht="15.6" x14ac:dyDescent="0.3">
      <c r="A395" s="189" t="s">
        <v>203</v>
      </c>
      <c r="B395" s="189"/>
      <c r="C395" s="189"/>
      <c r="D395" s="189"/>
      <c r="E395" s="189"/>
      <c r="F395" s="189"/>
      <c r="G395" s="189"/>
      <c r="H395" s="189"/>
      <c r="I395" s="189"/>
      <c r="J395" s="5" t="s">
        <v>7</v>
      </c>
      <c r="K395" s="3">
        <f t="shared" ref="K395:M395" si="115">K396+K397</f>
        <v>94734.88</v>
      </c>
      <c r="L395" s="3">
        <f t="shared" si="115"/>
        <v>173796.99</v>
      </c>
      <c r="M395" s="3">
        <f t="shared" si="115"/>
        <v>0</v>
      </c>
    </row>
    <row r="396" spans="1:14" s="6" customFormat="1" ht="15.6" x14ac:dyDescent="0.3">
      <c r="A396" s="189"/>
      <c r="B396" s="189"/>
      <c r="C396" s="189"/>
      <c r="D396" s="189"/>
      <c r="E396" s="189"/>
      <c r="F396" s="189"/>
      <c r="G396" s="189"/>
      <c r="H396" s="189"/>
      <c r="I396" s="189"/>
      <c r="J396" s="5" t="s">
        <v>8</v>
      </c>
      <c r="K396" s="3">
        <v>0</v>
      </c>
      <c r="L396" s="3">
        <v>0</v>
      </c>
      <c r="M396" s="3">
        <v>0</v>
      </c>
    </row>
    <row r="397" spans="1:14" s="6" customFormat="1" ht="15.6" x14ac:dyDescent="0.3">
      <c r="A397" s="189"/>
      <c r="B397" s="189"/>
      <c r="C397" s="189"/>
      <c r="D397" s="189"/>
      <c r="E397" s="189"/>
      <c r="F397" s="189"/>
      <c r="G397" s="189"/>
      <c r="H397" s="189"/>
      <c r="I397" s="189"/>
      <c r="J397" s="5" t="s">
        <v>9</v>
      </c>
      <c r="K397" s="3">
        <f>K399+K403+K405+K407+K401+K409+K411</f>
        <v>94734.88</v>
      </c>
      <c r="L397" s="3">
        <f t="shared" ref="L397:M397" si="116">L399+L403+L405+L407+L401+L409+L411</f>
        <v>173796.99</v>
      </c>
      <c r="M397" s="3">
        <f t="shared" si="116"/>
        <v>0</v>
      </c>
    </row>
    <row r="398" spans="1:14" s="1" customFormat="1" ht="22.5" customHeight="1" x14ac:dyDescent="0.3">
      <c r="A398" s="157" t="s">
        <v>359</v>
      </c>
      <c r="B398" s="173" t="s">
        <v>391</v>
      </c>
      <c r="C398" s="163" t="s">
        <v>252</v>
      </c>
      <c r="D398" s="65" t="s">
        <v>106</v>
      </c>
      <c r="E398" s="157" t="s">
        <v>12</v>
      </c>
      <c r="F398" s="160" t="s">
        <v>46</v>
      </c>
      <c r="G398" s="163" t="s">
        <v>87</v>
      </c>
      <c r="H398" s="161">
        <f>I398+K398+L398+M398</f>
        <v>5169.1899999999996</v>
      </c>
      <c r="I398" s="161">
        <v>0</v>
      </c>
      <c r="J398" s="29" t="s">
        <v>7</v>
      </c>
      <c r="K398" s="116">
        <f>K399</f>
        <v>5169.1899999999996</v>
      </c>
      <c r="L398" s="28">
        <f t="shared" ref="L398:M402" si="117">L399</f>
        <v>0</v>
      </c>
      <c r="M398" s="28">
        <f t="shared" si="117"/>
        <v>0</v>
      </c>
    </row>
    <row r="399" spans="1:14" s="1" customFormat="1" ht="44.25" customHeight="1" x14ac:dyDescent="0.3">
      <c r="A399" s="158"/>
      <c r="B399" s="186"/>
      <c r="C399" s="165"/>
      <c r="D399" s="163" t="s">
        <v>107</v>
      </c>
      <c r="E399" s="158"/>
      <c r="F399" s="160"/>
      <c r="G399" s="165"/>
      <c r="H399" s="160"/>
      <c r="I399" s="161"/>
      <c r="J399" s="29" t="s">
        <v>9</v>
      </c>
      <c r="K399" s="116">
        <v>5169.1899999999996</v>
      </c>
      <c r="L399" s="28">
        <v>0</v>
      </c>
      <c r="M399" s="28">
        <v>0</v>
      </c>
      <c r="N399" s="13"/>
    </row>
    <row r="400" spans="1:14" s="1" customFormat="1" ht="17.399999999999999" customHeight="1" x14ac:dyDescent="0.3">
      <c r="A400" s="158"/>
      <c r="B400" s="186"/>
      <c r="C400" s="165"/>
      <c r="D400" s="165"/>
      <c r="E400" s="158"/>
      <c r="F400" s="163" t="s">
        <v>11</v>
      </c>
      <c r="G400" s="165"/>
      <c r="H400" s="181">
        <f>I400+K400+L400+M400</f>
        <v>51012.41</v>
      </c>
      <c r="I400" s="161">
        <v>0</v>
      </c>
      <c r="J400" s="29" t="s">
        <v>7</v>
      </c>
      <c r="K400" s="116">
        <f>K401</f>
        <v>51012.41</v>
      </c>
      <c r="L400" s="55">
        <f t="shared" si="117"/>
        <v>0</v>
      </c>
      <c r="M400" s="55">
        <f t="shared" si="117"/>
        <v>0</v>
      </c>
    </row>
    <row r="401" spans="1:13" s="1" customFormat="1" ht="15.6" customHeight="1" x14ac:dyDescent="0.3">
      <c r="A401" s="159"/>
      <c r="B401" s="174"/>
      <c r="C401" s="164"/>
      <c r="D401" s="164"/>
      <c r="E401" s="159"/>
      <c r="F401" s="164"/>
      <c r="G401" s="164"/>
      <c r="H401" s="172"/>
      <c r="I401" s="161"/>
      <c r="J401" s="29" t="s">
        <v>9</v>
      </c>
      <c r="K401" s="116">
        <v>51012.41</v>
      </c>
      <c r="L401" s="55">
        <v>0</v>
      </c>
      <c r="M401" s="55">
        <v>0</v>
      </c>
    </row>
    <row r="402" spans="1:13" s="1" customFormat="1" ht="22.5" customHeight="1" x14ac:dyDescent="0.3">
      <c r="A402" s="172" t="s">
        <v>382</v>
      </c>
      <c r="B402" s="171" t="s">
        <v>95</v>
      </c>
      <c r="C402" s="160" t="s">
        <v>335</v>
      </c>
      <c r="D402" s="26" t="s">
        <v>24</v>
      </c>
      <c r="E402" s="172" t="s">
        <v>12</v>
      </c>
      <c r="F402" s="160" t="s">
        <v>388</v>
      </c>
      <c r="G402" s="160" t="s">
        <v>87</v>
      </c>
      <c r="H402" s="161">
        <f>I402+K402+L402+M402</f>
        <v>6173.74</v>
      </c>
      <c r="I402" s="161">
        <v>321.66000000000003</v>
      </c>
      <c r="J402" s="29" t="s">
        <v>7</v>
      </c>
      <c r="K402" s="116">
        <f>K403</f>
        <v>3430.2</v>
      </c>
      <c r="L402" s="28">
        <f t="shared" si="117"/>
        <v>2421.88</v>
      </c>
      <c r="M402" s="28">
        <f t="shared" si="117"/>
        <v>0</v>
      </c>
    </row>
    <row r="403" spans="1:13" s="1" customFormat="1" ht="44.25" customHeight="1" x14ac:dyDescent="0.3">
      <c r="A403" s="172"/>
      <c r="B403" s="171"/>
      <c r="C403" s="160"/>
      <c r="D403" s="26" t="s">
        <v>50</v>
      </c>
      <c r="E403" s="172"/>
      <c r="F403" s="160"/>
      <c r="G403" s="160"/>
      <c r="H403" s="160"/>
      <c r="I403" s="161"/>
      <c r="J403" s="29" t="s">
        <v>9</v>
      </c>
      <c r="K403" s="144">
        <f>2832.2+598</f>
        <v>3430.2</v>
      </c>
      <c r="L403" s="144">
        <v>2421.88</v>
      </c>
      <c r="M403" s="28">
        <v>0</v>
      </c>
    </row>
    <row r="404" spans="1:13" s="1" customFormat="1" ht="50.25" customHeight="1" x14ac:dyDescent="0.3">
      <c r="A404" s="160" t="s">
        <v>383</v>
      </c>
      <c r="B404" s="171" t="s">
        <v>123</v>
      </c>
      <c r="C404" s="160" t="s">
        <v>253</v>
      </c>
      <c r="D404" s="172" t="s">
        <v>24</v>
      </c>
      <c r="E404" s="172" t="s">
        <v>12</v>
      </c>
      <c r="F404" s="160" t="s">
        <v>46</v>
      </c>
      <c r="G404" s="163" t="s">
        <v>85</v>
      </c>
      <c r="H404" s="181">
        <f>I404+K404+L404+M404</f>
        <v>5195.6000000000004</v>
      </c>
      <c r="I404" s="161">
        <v>0</v>
      </c>
      <c r="J404" s="29" t="s">
        <v>7</v>
      </c>
      <c r="K404" s="116">
        <f>K405</f>
        <v>5195.6000000000004</v>
      </c>
      <c r="L404" s="55">
        <f t="shared" ref="L404" si="118">L405</f>
        <v>0</v>
      </c>
      <c r="M404" s="55">
        <f t="shared" ref="M404" si="119">M405</f>
        <v>0</v>
      </c>
    </row>
    <row r="405" spans="1:13" s="1" customFormat="1" ht="15.6" x14ac:dyDescent="0.3">
      <c r="A405" s="160"/>
      <c r="B405" s="171"/>
      <c r="C405" s="160"/>
      <c r="D405" s="172"/>
      <c r="E405" s="172"/>
      <c r="F405" s="160"/>
      <c r="G405" s="165"/>
      <c r="H405" s="181"/>
      <c r="I405" s="161"/>
      <c r="J405" s="29" t="s">
        <v>9</v>
      </c>
      <c r="K405" s="116">
        <v>5195.6000000000004</v>
      </c>
      <c r="L405" s="55">
        <v>0</v>
      </c>
      <c r="M405" s="55">
        <v>0</v>
      </c>
    </row>
    <row r="406" spans="1:13" s="1" customFormat="1" ht="15.75" customHeight="1" x14ac:dyDescent="0.3">
      <c r="A406" s="160"/>
      <c r="B406" s="171"/>
      <c r="C406" s="160"/>
      <c r="D406" s="172" t="s">
        <v>19</v>
      </c>
      <c r="E406" s="172"/>
      <c r="F406" s="160" t="s">
        <v>13</v>
      </c>
      <c r="G406" s="165"/>
      <c r="H406" s="181">
        <f>I406+K406+L406+M406</f>
        <v>14217.92</v>
      </c>
      <c r="I406" s="161">
        <v>0</v>
      </c>
      <c r="J406" s="68" t="s">
        <v>7</v>
      </c>
      <c r="K406" s="116">
        <f>K407</f>
        <v>0</v>
      </c>
      <c r="L406" s="55">
        <f>L407</f>
        <v>14217.92</v>
      </c>
      <c r="M406" s="55">
        <f>M407</f>
        <v>0</v>
      </c>
    </row>
    <row r="407" spans="1:13" s="1" customFormat="1" ht="28.5" customHeight="1" x14ac:dyDescent="0.3">
      <c r="A407" s="160"/>
      <c r="B407" s="171"/>
      <c r="C407" s="160"/>
      <c r="D407" s="172"/>
      <c r="E407" s="172"/>
      <c r="F407" s="160"/>
      <c r="G407" s="164"/>
      <c r="H407" s="181"/>
      <c r="I407" s="161"/>
      <c r="J407" s="29" t="s">
        <v>9</v>
      </c>
      <c r="K407" s="116">
        <v>0</v>
      </c>
      <c r="L407" s="55">
        <v>14217.92</v>
      </c>
      <c r="M407" s="55">
        <v>0</v>
      </c>
    </row>
    <row r="408" spans="1:13" s="1" customFormat="1" ht="50.25" customHeight="1" x14ac:dyDescent="0.3">
      <c r="A408" s="160" t="s">
        <v>387</v>
      </c>
      <c r="B408" s="203" t="s">
        <v>310</v>
      </c>
      <c r="C408" s="160" t="s">
        <v>296</v>
      </c>
      <c r="D408" s="172" t="s">
        <v>24</v>
      </c>
      <c r="E408" s="172" t="s">
        <v>12</v>
      </c>
      <c r="F408" s="160" t="s">
        <v>46</v>
      </c>
      <c r="G408" s="163" t="s">
        <v>85</v>
      </c>
      <c r="H408" s="181">
        <f>I408+K408+L408+M408</f>
        <v>29927.48</v>
      </c>
      <c r="I408" s="161">
        <v>0</v>
      </c>
      <c r="J408" s="29" t="s">
        <v>7</v>
      </c>
      <c r="K408" s="116">
        <f>K409</f>
        <v>29927.48</v>
      </c>
      <c r="L408" s="55">
        <f t="shared" ref="L408:M408" si="120">L409</f>
        <v>0</v>
      </c>
      <c r="M408" s="55">
        <f t="shared" si="120"/>
        <v>0</v>
      </c>
    </row>
    <row r="409" spans="1:13" s="1" customFormat="1" ht="15.6" x14ac:dyDescent="0.3">
      <c r="A409" s="160"/>
      <c r="B409" s="203"/>
      <c r="C409" s="160"/>
      <c r="D409" s="172"/>
      <c r="E409" s="172"/>
      <c r="F409" s="160"/>
      <c r="G409" s="165"/>
      <c r="H409" s="181"/>
      <c r="I409" s="161"/>
      <c r="J409" s="29" t="s">
        <v>9</v>
      </c>
      <c r="K409" s="116">
        <v>29927.48</v>
      </c>
      <c r="L409" s="55">
        <v>0</v>
      </c>
      <c r="M409" s="55">
        <v>0</v>
      </c>
    </row>
    <row r="410" spans="1:13" s="1" customFormat="1" ht="15.75" customHeight="1" x14ac:dyDescent="0.3">
      <c r="A410" s="160"/>
      <c r="B410" s="203"/>
      <c r="C410" s="160"/>
      <c r="D410" s="172" t="s">
        <v>262</v>
      </c>
      <c r="E410" s="172"/>
      <c r="F410" s="160" t="s">
        <v>13</v>
      </c>
      <c r="G410" s="165"/>
      <c r="H410" s="181">
        <f>I410+K410+L410+M410</f>
        <v>157157.19</v>
      </c>
      <c r="I410" s="161">
        <v>0</v>
      </c>
      <c r="J410" s="108" t="s">
        <v>7</v>
      </c>
      <c r="K410" s="116">
        <f>K411</f>
        <v>0</v>
      </c>
      <c r="L410" s="55">
        <f>L411</f>
        <v>157157.19</v>
      </c>
      <c r="M410" s="55">
        <f>M411</f>
        <v>0</v>
      </c>
    </row>
    <row r="411" spans="1:13" s="1" customFormat="1" ht="18.600000000000001" customHeight="1" x14ac:dyDescent="0.3">
      <c r="A411" s="160"/>
      <c r="B411" s="203"/>
      <c r="C411" s="160"/>
      <c r="D411" s="172"/>
      <c r="E411" s="172"/>
      <c r="F411" s="160"/>
      <c r="G411" s="164"/>
      <c r="H411" s="181"/>
      <c r="I411" s="161"/>
      <c r="J411" s="29" t="s">
        <v>9</v>
      </c>
      <c r="K411" s="116">
        <v>0</v>
      </c>
      <c r="L411" s="55">
        <v>157157.19</v>
      </c>
      <c r="M411" s="55">
        <v>0</v>
      </c>
    </row>
    <row r="412" spans="1:13" s="1" customFormat="1" ht="20.25" customHeight="1" x14ac:dyDescent="0.3">
      <c r="B412" s="17" t="s">
        <v>316</v>
      </c>
      <c r="C412" s="17"/>
      <c r="D412" s="17"/>
      <c r="E412" s="17"/>
      <c r="F412" s="17"/>
      <c r="G412" s="89"/>
      <c r="H412" s="17"/>
      <c r="I412" s="90"/>
      <c r="J412" s="17"/>
      <c r="K412" s="89"/>
      <c r="L412" s="17"/>
    </row>
    <row r="413" spans="1:13" s="1" customFormat="1" ht="15.6" x14ac:dyDescent="0.3">
      <c r="B413" s="197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</row>
    <row r="414" spans="1:13" s="13" customFormat="1" ht="15.6" x14ac:dyDescent="0.3">
      <c r="B414" s="14"/>
      <c r="C414" s="14"/>
      <c r="D414" s="14"/>
      <c r="E414" s="14"/>
      <c r="F414" s="15"/>
      <c r="G414" s="15"/>
      <c r="H414" s="14"/>
      <c r="I414" s="15"/>
      <c r="J414" s="14"/>
      <c r="K414" s="14"/>
      <c r="L414" s="14"/>
    </row>
    <row r="415" spans="1:13" s="13" customFormat="1" ht="15.6" x14ac:dyDescent="0.3">
      <c r="B415" s="14"/>
      <c r="C415" s="14"/>
      <c r="D415" s="14"/>
      <c r="E415" s="14"/>
      <c r="F415" s="15"/>
      <c r="G415" s="15"/>
      <c r="H415" s="14"/>
      <c r="I415" s="15"/>
      <c r="J415" s="14"/>
      <c r="K415" s="14"/>
      <c r="L415" s="14"/>
    </row>
    <row r="416" spans="1:13" s="13" customFormat="1" ht="15.6" x14ac:dyDescent="0.3">
      <c r="B416" s="14"/>
      <c r="C416" s="14"/>
      <c r="D416" s="14"/>
      <c r="E416" s="14"/>
      <c r="F416" s="15"/>
      <c r="G416" s="15"/>
      <c r="H416" s="14"/>
      <c r="I416" s="15"/>
      <c r="J416" s="14"/>
      <c r="K416" s="14"/>
      <c r="L416" s="14"/>
    </row>
    <row r="417" spans="6:11" s="13" customFormat="1" x14ac:dyDescent="0.3">
      <c r="F417" s="16"/>
      <c r="G417" s="16"/>
      <c r="I417" s="16"/>
      <c r="K417" s="12"/>
    </row>
    <row r="418" spans="6:11" s="13" customFormat="1" x14ac:dyDescent="0.3">
      <c r="F418" s="16"/>
      <c r="G418" s="16"/>
      <c r="I418" s="16"/>
      <c r="K418" s="12"/>
    </row>
    <row r="419" spans="6:11" s="13" customFormat="1" x14ac:dyDescent="0.3">
      <c r="F419" s="16"/>
      <c r="G419" s="16"/>
      <c r="I419" s="16"/>
      <c r="K419" s="12"/>
    </row>
  </sheetData>
  <autoFilter ref="A14:M412" xr:uid="{00000000-0009-0000-0000-000000000000}"/>
  <mergeCells count="1191">
    <mergeCell ref="H139:H141"/>
    <mergeCell ref="F148:F150"/>
    <mergeCell ref="G148:G150"/>
    <mergeCell ref="H142:H144"/>
    <mergeCell ref="I86:I87"/>
    <mergeCell ref="A148:A150"/>
    <mergeCell ref="A125:A128"/>
    <mergeCell ref="B125:B128"/>
    <mergeCell ref="C134:C136"/>
    <mergeCell ref="B148:B150"/>
    <mergeCell ref="C148:C150"/>
    <mergeCell ref="D148:D149"/>
    <mergeCell ref="E148:E150"/>
    <mergeCell ref="B131:B133"/>
    <mergeCell ref="A117:A121"/>
    <mergeCell ref="B180:B181"/>
    <mergeCell ref="A282:A285"/>
    <mergeCell ref="E282:E285"/>
    <mergeCell ref="B230:B232"/>
    <mergeCell ref="C230:C232"/>
    <mergeCell ref="E230:E232"/>
    <mergeCell ref="F230:F232"/>
    <mergeCell ref="E212:E216"/>
    <mergeCell ref="C187:C191"/>
    <mergeCell ref="C233:C235"/>
    <mergeCell ref="H187:H188"/>
    <mergeCell ref="D234:D235"/>
    <mergeCell ref="F220:F221"/>
    <mergeCell ref="E207:E211"/>
    <mergeCell ref="D210:D211"/>
    <mergeCell ref="G220:G221"/>
    <mergeCell ref="B233:B235"/>
    <mergeCell ref="A395:I397"/>
    <mergeCell ref="A296:A297"/>
    <mergeCell ref="C296:C297"/>
    <mergeCell ref="E296:E297"/>
    <mergeCell ref="A298:A299"/>
    <mergeCell ref="B298:B299"/>
    <mergeCell ref="A268:A271"/>
    <mergeCell ref="F292:F293"/>
    <mergeCell ref="H408:H409"/>
    <mergeCell ref="H404:H405"/>
    <mergeCell ref="E408:E411"/>
    <mergeCell ref="F408:F409"/>
    <mergeCell ref="G408:G411"/>
    <mergeCell ref="G398:G401"/>
    <mergeCell ref="A398:A401"/>
    <mergeCell ref="B398:B401"/>
    <mergeCell ref="C398:C401"/>
    <mergeCell ref="D399:D401"/>
    <mergeCell ref="E398:E401"/>
    <mergeCell ref="G339:G342"/>
    <mergeCell ref="A343:A346"/>
    <mergeCell ref="A388:A391"/>
    <mergeCell ref="D393:D394"/>
    <mergeCell ref="C347:C350"/>
    <mergeCell ref="D381:D382"/>
    <mergeCell ref="F381:F382"/>
    <mergeCell ref="C298:C299"/>
    <mergeCell ref="E402:E403"/>
    <mergeCell ref="A402:A403"/>
    <mergeCell ref="K4:M4"/>
    <mergeCell ref="H282:H283"/>
    <mergeCell ref="I282:I283"/>
    <mergeCell ref="F284:F285"/>
    <mergeCell ref="H284:H285"/>
    <mergeCell ref="I284:I285"/>
    <mergeCell ref="C286:C291"/>
    <mergeCell ref="C260:C263"/>
    <mergeCell ref="C243:C247"/>
    <mergeCell ref="A163:A164"/>
    <mergeCell ref="B163:B164"/>
    <mergeCell ref="C163:C164"/>
    <mergeCell ref="E163:E164"/>
    <mergeCell ref="F163:F164"/>
    <mergeCell ref="G163:G164"/>
    <mergeCell ref="H163:H164"/>
    <mergeCell ref="I163:I164"/>
    <mergeCell ref="I286:I287"/>
    <mergeCell ref="A243:A247"/>
    <mergeCell ref="A272:A275"/>
    <mergeCell ref="D284:D285"/>
    <mergeCell ref="C268:C271"/>
    <mergeCell ref="G256:G259"/>
    <mergeCell ref="A254:A255"/>
    <mergeCell ref="H278:H279"/>
    <mergeCell ref="I278:I279"/>
    <mergeCell ref="D172:D173"/>
    <mergeCell ref="C217:C219"/>
    <mergeCell ref="H201:H203"/>
    <mergeCell ref="C236:C237"/>
    <mergeCell ref="B243:B247"/>
    <mergeCell ref="A248:A249"/>
    <mergeCell ref="I390:I391"/>
    <mergeCell ref="I327:I328"/>
    <mergeCell ref="H392:H394"/>
    <mergeCell ref="C359:C362"/>
    <mergeCell ref="H390:H391"/>
    <mergeCell ref="B392:B394"/>
    <mergeCell ref="H335:H336"/>
    <mergeCell ref="H331:H332"/>
    <mergeCell ref="H333:H334"/>
    <mergeCell ref="H337:H338"/>
    <mergeCell ref="D333:D334"/>
    <mergeCell ref="F375:F376"/>
    <mergeCell ref="G375:G376"/>
    <mergeCell ref="H341:H342"/>
    <mergeCell ref="E379:E382"/>
    <mergeCell ref="I381:I382"/>
    <mergeCell ref="D355:D356"/>
    <mergeCell ref="E355:E358"/>
    <mergeCell ref="D357:D358"/>
    <mergeCell ref="C392:C394"/>
    <mergeCell ref="I377:I378"/>
    <mergeCell ref="G331:G334"/>
    <mergeCell ref="H343:H344"/>
    <mergeCell ref="I339:I340"/>
    <mergeCell ref="D341:D342"/>
    <mergeCell ref="F388:F389"/>
    <mergeCell ref="H381:H382"/>
    <mergeCell ref="I400:I401"/>
    <mergeCell ref="H400:H401"/>
    <mergeCell ref="F379:F380"/>
    <mergeCell ref="G379:G382"/>
    <mergeCell ref="H379:H380"/>
    <mergeCell ref="I379:I380"/>
    <mergeCell ref="C363:C366"/>
    <mergeCell ref="D363:D364"/>
    <mergeCell ref="F392:F394"/>
    <mergeCell ref="A292:A295"/>
    <mergeCell ref="C292:C295"/>
    <mergeCell ref="F398:F399"/>
    <mergeCell ref="A331:A334"/>
    <mergeCell ref="B331:B334"/>
    <mergeCell ref="A327:A330"/>
    <mergeCell ref="B327:B330"/>
    <mergeCell ref="E300:E303"/>
    <mergeCell ref="E388:E391"/>
    <mergeCell ref="D388:D389"/>
    <mergeCell ref="F337:F338"/>
    <mergeCell ref="I355:I356"/>
    <mergeCell ref="I357:I358"/>
    <mergeCell ref="I351:I352"/>
    <mergeCell ref="F353:F354"/>
    <mergeCell ref="F317:F318"/>
    <mergeCell ref="H347:H348"/>
    <mergeCell ref="H375:H376"/>
    <mergeCell ref="G388:G391"/>
    <mergeCell ref="G392:G394"/>
    <mergeCell ref="H353:H354"/>
    <mergeCell ref="B355:B358"/>
    <mergeCell ref="C355:C358"/>
    <mergeCell ref="E392:E394"/>
    <mergeCell ref="A367:A370"/>
    <mergeCell ref="B367:B370"/>
    <mergeCell ref="C367:C370"/>
    <mergeCell ref="D367:D368"/>
    <mergeCell ref="A375:A378"/>
    <mergeCell ref="B375:B378"/>
    <mergeCell ref="C375:C378"/>
    <mergeCell ref="E375:E378"/>
    <mergeCell ref="A359:A362"/>
    <mergeCell ref="B359:B362"/>
    <mergeCell ref="D347:D348"/>
    <mergeCell ref="A392:A394"/>
    <mergeCell ref="C312:C313"/>
    <mergeCell ref="C321:C322"/>
    <mergeCell ref="C304:C305"/>
    <mergeCell ref="D314:D315"/>
    <mergeCell ref="E323:E326"/>
    <mergeCell ref="C319:C320"/>
    <mergeCell ref="B306:B307"/>
    <mergeCell ref="D390:D391"/>
    <mergeCell ref="B363:B366"/>
    <mergeCell ref="A363:A366"/>
    <mergeCell ref="A355:A358"/>
    <mergeCell ref="C371:C374"/>
    <mergeCell ref="D371:D372"/>
    <mergeCell ref="E371:E374"/>
    <mergeCell ref="C306:C307"/>
    <mergeCell ref="A408:A411"/>
    <mergeCell ref="B408:B411"/>
    <mergeCell ref="C408:C411"/>
    <mergeCell ref="D408:D409"/>
    <mergeCell ref="C207:C211"/>
    <mergeCell ref="I209:I211"/>
    <mergeCell ref="I408:I409"/>
    <mergeCell ref="D410:D411"/>
    <mergeCell ref="F410:F411"/>
    <mergeCell ref="H410:H411"/>
    <mergeCell ref="I410:I411"/>
    <mergeCell ref="B402:B403"/>
    <mergeCell ref="A404:A407"/>
    <mergeCell ref="B404:B407"/>
    <mergeCell ref="C404:C407"/>
    <mergeCell ref="D406:D407"/>
    <mergeCell ref="F406:F407"/>
    <mergeCell ref="D404:D405"/>
    <mergeCell ref="E404:E407"/>
    <mergeCell ref="G404:G407"/>
    <mergeCell ref="F400:F401"/>
    <mergeCell ref="G260:G263"/>
    <mergeCell ref="H260:H261"/>
    <mergeCell ref="I260:I261"/>
    <mergeCell ref="H402:H403"/>
    <mergeCell ref="A280:A281"/>
    <mergeCell ref="E331:E334"/>
    <mergeCell ref="I274:I275"/>
    <mergeCell ref="F402:F403"/>
    <mergeCell ref="C402:C403"/>
    <mergeCell ref="A233:A235"/>
    <mergeCell ref="G240:G242"/>
    <mergeCell ref="M54:M55"/>
    <mergeCell ref="J54:J55"/>
    <mergeCell ref="K54:K55"/>
    <mergeCell ref="L54:L55"/>
    <mergeCell ref="I84:I85"/>
    <mergeCell ref="H151:H153"/>
    <mergeCell ref="H170:H175"/>
    <mergeCell ref="H178:H179"/>
    <mergeCell ref="A170:A175"/>
    <mergeCell ref="B154:B156"/>
    <mergeCell ref="M47:M48"/>
    <mergeCell ref="A220:A221"/>
    <mergeCell ref="A212:A216"/>
    <mergeCell ref="A195:A200"/>
    <mergeCell ref="J47:J48"/>
    <mergeCell ref="K47:K48"/>
    <mergeCell ref="L47:L48"/>
    <mergeCell ref="H93:H95"/>
    <mergeCell ref="I93:I95"/>
    <mergeCell ref="I91:I92"/>
    <mergeCell ref="F81:F83"/>
    <mergeCell ref="H70:H71"/>
    <mergeCell ref="F72:F74"/>
    <mergeCell ref="F84:F85"/>
    <mergeCell ref="I81:I83"/>
    <mergeCell ref="H81:H83"/>
    <mergeCell ref="H86:H87"/>
    <mergeCell ref="G51:G53"/>
    <mergeCell ref="H134:H136"/>
    <mergeCell ref="F139:F141"/>
    <mergeCell ref="F151:F153"/>
    <mergeCell ref="C182:C186"/>
    <mergeCell ref="F209:F211"/>
    <mergeCell ref="F212:F213"/>
    <mergeCell ref="F207:F208"/>
    <mergeCell ref="G195:G200"/>
    <mergeCell ref="D207:D209"/>
    <mergeCell ref="G207:G211"/>
    <mergeCell ref="C220:C221"/>
    <mergeCell ref="H220:H221"/>
    <mergeCell ref="H212:H213"/>
    <mergeCell ref="F198:F200"/>
    <mergeCell ref="F214:F216"/>
    <mergeCell ref="H217:H219"/>
    <mergeCell ref="F201:F203"/>
    <mergeCell ref="G233:G235"/>
    <mergeCell ref="H195:H197"/>
    <mergeCell ref="H198:H200"/>
    <mergeCell ref="G222:G226"/>
    <mergeCell ref="B195:B200"/>
    <mergeCell ref="A58:A59"/>
    <mergeCell ref="B58:B59"/>
    <mergeCell ref="C58:C59"/>
    <mergeCell ref="E58:E59"/>
    <mergeCell ref="F58:F59"/>
    <mergeCell ref="G58:G59"/>
    <mergeCell ref="H58:H59"/>
    <mergeCell ref="I58:I59"/>
    <mergeCell ref="I184:I186"/>
    <mergeCell ref="G180:G181"/>
    <mergeCell ref="H154:H156"/>
    <mergeCell ref="D140:D141"/>
    <mergeCell ref="H165:H166"/>
    <mergeCell ref="H167:H169"/>
    <mergeCell ref="H137:H138"/>
    <mergeCell ref="H176:H177"/>
    <mergeCell ref="D183:D186"/>
    <mergeCell ref="E182:E186"/>
    <mergeCell ref="E176:E179"/>
    <mergeCell ref="C137:C141"/>
    <mergeCell ref="D137:D139"/>
    <mergeCell ref="E137:E141"/>
    <mergeCell ref="F137:F138"/>
    <mergeCell ref="H120:H121"/>
    <mergeCell ref="I62:I64"/>
    <mergeCell ref="A65:A69"/>
    <mergeCell ref="B65:B69"/>
    <mergeCell ref="C65:C69"/>
    <mergeCell ref="D65:D66"/>
    <mergeCell ref="E65:E69"/>
    <mergeCell ref="F65:F66"/>
    <mergeCell ref="I60:I61"/>
    <mergeCell ref="D62:D64"/>
    <mergeCell ref="F62:F64"/>
    <mergeCell ref="H62:H64"/>
    <mergeCell ref="D118:D119"/>
    <mergeCell ref="F51:F53"/>
    <mergeCell ref="F86:F87"/>
    <mergeCell ref="E78:E80"/>
    <mergeCell ref="C78:C80"/>
    <mergeCell ref="B81:B83"/>
    <mergeCell ref="B84:B87"/>
    <mergeCell ref="B54:B57"/>
    <mergeCell ref="B51:B53"/>
    <mergeCell ref="H65:H66"/>
    <mergeCell ref="I65:I66"/>
    <mergeCell ref="D67:D69"/>
    <mergeCell ref="F67:F69"/>
    <mergeCell ref="H67:H69"/>
    <mergeCell ref="I67:I69"/>
    <mergeCell ref="I51:I53"/>
    <mergeCell ref="H72:H74"/>
    <mergeCell ref="D70:D71"/>
    <mergeCell ref="D79:D80"/>
    <mergeCell ref="I120:I121"/>
    <mergeCell ref="G120:G121"/>
    <mergeCell ref="F122:F124"/>
    <mergeCell ref="F117:F119"/>
    <mergeCell ref="B117:B121"/>
    <mergeCell ref="C117:C121"/>
    <mergeCell ref="E117:E121"/>
    <mergeCell ref="D120:D121"/>
    <mergeCell ref="F120:F121"/>
    <mergeCell ref="G111:G113"/>
    <mergeCell ref="D104:D105"/>
    <mergeCell ref="H111:H113"/>
    <mergeCell ref="G96:G98"/>
    <mergeCell ref="F106:F107"/>
    <mergeCell ref="F111:F113"/>
    <mergeCell ref="D84:D85"/>
    <mergeCell ref="D86:D87"/>
    <mergeCell ref="C84:C87"/>
    <mergeCell ref="H104:H105"/>
    <mergeCell ref="I104:I105"/>
    <mergeCell ref="H96:H98"/>
    <mergeCell ref="B111:B113"/>
    <mergeCell ref="A217:A219"/>
    <mergeCell ref="I137:I138"/>
    <mergeCell ref="F192:F194"/>
    <mergeCell ref="G192:G194"/>
    <mergeCell ref="H192:H194"/>
    <mergeCell ref="H184:H186"/>
    <mergeCell ref="F125:F126"/>
    <mergeCell ref="I178:I179"/>
    <mergeCell ref="I182:I183"/>
    <mergeCell ref="H131:H133"/>
    <mergeCell ref="H209:H211"/>
    <mergeCell ref="I142:I144"/>
    <mergeCell ref="G134:G136"/>
    <mergeCell ref="F129:F130"/>
    <mergeCell ref="H129:H130"/>
    <mergeCell ref="I148:I150"/>
    <mergeCell ref="I207:I208"/>
    <mergeCell ref="I154:I156"/>
    <mergeCell ref="F204:F206"/>
    <mergeCell ref="F184:F186"/>
    <mergeCell ref="I198:I200"/>
    <mergeCell ref="A180:A181"/>
    <mergeCell ref="A187:A191"/>
    <mergeCell ref="D187:D189"/>
    <mergeCell ref="E187:E191"/>
    <mergeCell ref="F187:F188"/>
    <mergeCell ref="B187:B191"/>
    <mergeCell ref="D176:D178"/>
    <mergeCell ref="A201:A206"/>
    <mergeCell ref="A192:A194"/>
    <mergeCell ref="B192:B194"/>
    <mergeCell ref="C192:C194"/>
    <mergeCell ref="I214:I216"/>
    <mergeCell ref="A227:I229"/>
    <mergeCell ref="F304:F305"/>
    <mergeCell ref="A230:A232"/>
    <mergeCell ref="I252:I253"/>
    <mergeCell ref="B240:B242"/>
    <mergeCell ref="F233:F235"/>
    <mergeCell ref="H240:H242"/>
    <mergeCell ref="E286:E291"/>
    <mergeCell ref="F286:F287"/>
    <mergeCell ref="G238:G239"/>
    <mergeCell ref="A300:A303"/>
    <mergeCell ref="H254:H255"/>
    <mergeCell ref="B272:B275"/>
    <mergeCell ref="C272:C275"/>
    <mergeCell ref="H250:H251"/>
    <mergeCell ref="B250:B251"/>
    <mergeCell ref="B248:B249"/>
    <mergeCell ref="G212:G216"/>
    <mergeCell ref="H214:H216"/>
    <mergeCell ref="E217:E219"/>
    <mergeCell ref="I254:I255"/>
    <mergeCell ref="B296:B297"/>
    <mergeCell ref="B264:B267"/>
    <mergeCell ref="D217:D218"/>
    <mergeCell ref="H238:H239"/>
    <mergeCell ref="G248:G249"/>
    <mergeCell ref="H248:H249"/>
    <mergeCell ref="I248:I249"/>
    <mergeCell ref="H262:H263"/>
    <mergeCell ref="F302:F303"/>
    <mergeCell ref="H302:H303"/>
    <mergeCell ref="C176:C179"/>
    <mergeCell ref="G176:G179"/>
    <mergeCell ref="G165:G169"/>
    <mergeCell ref="F154:F156"/>
    <mergeCell ref="D165:D167"/>
    <mergeCell ref="E165:E169"/>
    <mergeCell ref="D155:D156"/>
    <mergeCell ref="F165:F166"/>
    <mergeCell ref="F176:F177"/>
    <mergeCell ref="H182:H183"/>
    <mergeCell ref="E220:E221"/>
    <mergeCell ref="M172:M173"/>
    <mergeCell ref="J172:J173"/>
    <mergeCell ref="L172:L173"/>
    <mergeCell ref="K172:K173"/>
    <mergeCell ref="F170:F171"/>
    <mergeCell ref="H157:H159"/>
    <mergeCell ref="F195:F197"/>
    <mergeCell ref="F189:F191"/>
    <mergeCell ref="G187:G191"/>
    <mergeCell ref="G182:G186"/>
    <mergeCell ref="I189:I191"/>
    <mergeCell ref="G154:G156"/>
    <mergeCell ref="M217:M218"/>
    <mergeCell ref="J217:J218"/>
    <mergeCell ref="K217:K218"/>
    <mergeCell ref="L217:L218"/>
    <mergeCell ref="I160:I162"/>
    <mergeCell ref="D190:D191"/>
    <mergeCell ref="D196:D200"/>
    <mergeCell ref="G201:G206"/>
    <mergeCell ref="C195:C200"/>
    <mergeCell ref="I134:I136"/>
    <mergeCell ref="I131:I133"/>
    <mergeCell ref="I114:I116"/>
    <mergeCell ref="E134:E136"/>
    <mergeCell ref="F142:F144"/>
    <mergeCell ref="D114:D115"/>
    <mergeCell ref="D143:D147"/>
    <mergeCell ref="F134:F136"/>
    <mergeCell ref="F145:F147"/>
    <mergeCell ref="D123:D124"/>
    <mergeCell ref="G122:G124"/>
    <mergeCell ref="E125:E128"/>
    <mergeCell ref="F127:F128"/>
    <mergeCell ref="E114:E116"/>
    <mergeCell ref="I117:I119"/>
    <mergeCell ref="F114:F116"/>
    <mergeCell ref="E154:E156"/>
    <mergeCell ref="G114:G116"/>
    <mergeCell ref="H114:H116"/>
    <mergeCell ref="I127:I128"/>
    <mergeCell ref="I122:I124"/>
    <mergeCell ref="H122:H124"/>
    <mergeCell ref="I125:I126"/>
    <mergeCell ref="D135:D136"/>
    <mergeCell ref="H117:H119"/>
    <mergeCell ref="H148:H150"/>
    <mergeCell ref="G151:G153"/>
    <mergeCell ref="D151:D152"/>
    <mergeCell ref="G142:G147"/>
    <mergeCell ref="G137:G141"/>
    <mergeCell ref="I151:I153"/>
    <mergeCell ref="G117:G119"/>
    <mergeCell ref="A151:A153"/>
    <mergeCell ref="C151:C153"/>
    <mergeCell ref="A165:A169"/>
    <mergeCell ref="A176:A179"/>
    <mergeCell ref="B176:B179"/>
    <mergeCell ref="C125:C128"/>
    <mergeCell ref="B142:B147"/>
    <mergeCell ref="C142:C147"/>
    <mergeCell ref="A122:A124"/>
    <mergeCell ref="B122:B124"/>
    <mergeCell ref="C122:C124"/>
    <mergeCell ref="A142:A147"/>
    <mergeCell ref="H127:H128"/>
    <mergeCell ref="F131:F133"/>
    <mergeCell ref="G125:G128"/>
    <mergeCell ref="B134:B136"/>
    <mergeCell ref="D127:D128"/>
    <mergeCell ref="E157:E162"/>
    <mergeCell ref="F160:F162"/>
    <mergeCell ref="E170:E175"/>
    <mergeCell ref="F172:F175"/>
    <mergeCell ref="G170:G175"/>
    <mergeCell ref="B151:B153"/>
    <mergeCell ref="B170:B175"/>
    <mergeCell ref="C170:C175"/>
    <mergeCell ref="D174:D175"/>
    <mergeCell ref="F178:F179"/>
    <mergeCell ref="A137:A141"/>
    <mergeCell ref="C129:C133"/>
    <mergeCell ref="D129:D131"/>
    <mergeCell ref="D125:D126"/>
    <mergeCell ref="E122:E124"/>
    <mergeCell ref="I129:I130"/>
    <mergeCell ref="B212:B216"/>
    <mergeCell ref="C212:C216"/>
    <mergeCell ref="C201:C206"/>
    <mergeCell ref="B217:B219"/>
    <mergeCell ref="A207:A211"/>
    <mergeCell ref="H145:H147"/>
    <mergeCell ref="I145:I147"/>
    <mergeCell ref="I167:I169"/>
    <mergeCell ref="I180:I181"/>
    <mergeCell ref="H189:H191"/>
    <mergeCell ref="H180:H181"/>
    <mergeCell ref="H160:H162"/>
    <mergeCell ref="D161:D162"/>
    <mergeCell ref="D202:D206"/>
    <mergeCell ref="I139:I141"/>
    <mergeCell ref="I170:I175"/>
    <mergeCell ref="A182:A186"/>
    <mergeCell ref="F182:F183"/>
    <mergeCell ref="G217:G219"/>
    <mergeCell ref="C157:C162"/>
    <mergeCell ref="F157:F159"/>
    <mergeCell ref="G157:G162"/>
    <mergeCell ref="D193:D194"/>
    <mergeCell ref="E142:E147"/>
    <mergeCell ref="A154:A156"/>
    <mergeCell ref="H207:H208"/>
    <mergeCell ref="A129:A133"/>
    <mergeCell ref="G129:G133"/>
    <mergeCell ref="B137:B141"/>
    <mergeCell ref="B165:B169"/>
    <mergeCell ref="C165:C169"/>
    <mergeCell ref="C154:C156"/>
    <mergeCell ref="I165:I166"/>
    <mergeCell ref="F167:F169"/>
    <mergeCell ref="H204:H206"/>
    <mergeCell ref="F217:F219"/>
    <mergeCell ref="E236:E237"/>
    <mergeCell ref="I192:I194"/>
    <mergeCell ref="I157:I159"/>
    <mergeCell ref="D157:D160"/>
    <mergeCell ref="B207:B211"/>
    <mergeCell ref="D168:D169"/>
    <mergeCell ref="E192:E194"/>
    <mergeCell ref="F180:F181"/>
    <mergeCell ref="E201:E206"/>
    <mergeCell ref="G230:G232"/>
    <mergeCell ref="H230:H232"/>
    <mergeCell ref="E233:E235"/>
    <mergeCell ref="D213:D216"/>
    <mergeCell ref="B236:B237"/>
    <mergeCell ref="B182:B186"/>
    <mergeCell ref="D231:D232"/>
    <mergeCell ref="I187:I188"/>
    <mergeCell ref="I176:I177"/>
    <mergeCell ref="B220:B221"/>
    <mergeCell ref="I217:I219"/>
    <mergeCell ref="I212:I213"/>
    <mergeCell ref="E180:E181"/>
    <mergeCell ref="I204:I206"/>
    <mergeCell ref="D170:D171"/>
    <mergeCell ref="B201:B206"/>
    <mergeCell ref="E195:E200"/>
    <mergeCell ref="C180:C181"/>
    <mergeCell ref="C252:C253"/>
    <mergeCell ref="C248:C249"/>
    <mergeCell ref="B282:B285"/>
    <mergeCell ref="C282:C285"/>
    <mergeCell ref="D282:D283"/>
    <mergeCell ref="B268:B271"/>
    <mergeCell ref="B276:B279"/>
    <mergeCell ref="D265:D267"/>
    <mergeCell ref="E264:E267"/>
    <mergeCell ref="B280:B281"/>
    <mergeCell ref="F243:F244"/>
    <mergeCell ref="I243:I244"/>
    <mergeCell ref="H298:H299"/>
    <mergeCell ref="E254:E255"/>
    <mergeCell ref="E248:E249"/>
    <mergeCell ref="F252:F253"/>
    <mergeCell ref="E250:E251"/>
    <mergeCell ref="I272:I273"/>
    <mergeCell ref="B286:B291"/>
    <mergeCell ref="D286:D287"/>
    <mergeCell ref="D288:D291"/>
    <mergeCell ref="I236:I237"/>
    <mergeCell ref="B413:L413"/>
    <mergeCell ref="G306:G307"/>
    <mergeCell ref="H306:H307"/>
    <mergeCell ref="I306:I307"/>
    <mergeCell ref="E298:E299"/>
    <mergeCell ref="G280:G281"/>
    <mergeCell ref="B254:B255"/>
    <mergeCell ref="H280:H281"/>
    <mergeCell ref="G252:G253"/>
    <mergeCell ref="H252:H253"/>
    <mergeCell ref="C254:C255"/>
    <mergeCell ref="I288:I291"/>
    <mergeCell ref="H329:H330"/>
    <mergeCell ref="I329:I330"/>
    <mergeCell ref="F331:F332"/>
    <mergeCell ref="D256:D257"/>
    <mergeCell ref="J240:J241"/>
    <mergeCell ref="D294:D295"/>
    <mergeCell ref="L245:L246"/>
    <mergeCell ref="F404:F405"/>
    <mergeCell ref="I276:I277"/>
    <mergeCell ref="I240:I242"/>
    <mergeCell ref="I256:I257"/>
    <mergeCell ref="F329:F330"/>
    <mergeCell ref="D245:D247"/>
    <mergeCell ref="E243:E247"/>
    <mergeCell ref="F245:F247"/>
    <mergeCell ref="H258:H259"/>
    <mergeCell ref="C250:C251"/>
    <mergeCell ref="C256:C259"/>
    <mergeCell ref="I245:I247"/>
    <mergeCell ref="E240:E242"/>
    <mergeCell ref="I96:I98"/>
    <mergeCell ref="A134:A136"/>
    <mergeCell ref="E151:E153"/>
    <mergeCell ref="I233:I235"/>
    <mergeCell ref="H125:H126"/>
    <mergeCell ref="A157:A162"/>
    <mergeCell ref="B157:B162"/>
    <mergeCell ref="B292:B295"/>
    <mergeCell ref="H296:H297"/>
    <mergeCell ref="I238:I239"/>
    <mergeCell ref="F238:F239"/>
    <mergeCell ref="E238:E239"/>
    <mergeCell ref="C264:C267"/>
    <mergeCell ref="E99:E103"/>
    <mergeCell ref="E111:E113"/>
    <mergeCell ref="A99:A103"/>
    <mergeCell ref="A96:A98"/>
    <mergeCell ref="I101:I103"/>
    <mergeCell ref="H292:H293"/>
    <mergeCell ref="F266:F267"/>
    <mergeCell ref="H256:H257"/>
    <mergeCell ref="F256:F257"/>
    <mergeCell ref="F258:F259"/>
    <mergeCell ref="H264:H265"/>
    <mergeCell ref="F268:F269"/>
    <mergeCell ref="A250:A251"/>
    <mergeCell ref="A114:A116"/>
    <mergeCell ref="B114:B116"/>
    <mergeCell ref="H106:H107"/>
    <mergeCell ref="I111:I113"/>
    <mergeCell ref="C114:C116"/>
    <mergeCell ref="A78:A80"/>
    <mergeCell ref="D47:D48"/>
    <mergeCell ref="A91:A95"/>
    <mergeCell ref="B91:B95"/>
    <mergeCell ref="C111:C113"/>
    <mergeCell ref="A60:A64"/>
    <mergeCell ref="G91:G92"/>
    <mergeCell ref="A88:I90"/>
    <mergeCell ref="E84:E87"/>
    <mergeCell ref="I70:I71"/>
    <mergeCell ref="I72:I74"/>
    <mergeCell ref="H54:H57"/>
    <mergeCell ref="C91:C95"/>
    <mergeCell ref="A70:A74"/>
    <mergeCell ref="B70:B74"/>
    <mergeCell ref="A54:A57"/>
    <mergeCell ref="A81:A83"/>
    <mergeCell ref="F70:F71"/>
    <mergeCell ref="D91:D93"/>
    <mergeCell ref="H91:H92"/>
    <mergeCell ref="G93:G95"/>
    <mergeCell ref="I54:I57"/>
    <mergeCell ref="G78:G80"/>
    <mergeCell ref="B99:B103"/>
    <mergeCell ref="C104:C107"/>
    <mergeCell ref="G65:G69"/>
    <mergeCell ref="B60:B64"/>
    <mergeCell ref="C60:C64"/>
    <mergeCell ref="D60:D61"/>
    <mergeCell ref="E60:E64"/>
    <mergeCell ref="F60:F61"/>
    <mergeCell ref="G60:G64"/>
    <mergeCell ref="C24:C26"/>
    <mergeCell ref="E24:E26"/>
    <mergeCell ref="H40:H41"/>
    <mergeCell ref="A24:A26"/>
    <mergeCell ref="B24:B26"/>
    <mergeCell ref="F40:F41"/>
    <mergeCell ref="I21:I23"/>
    <mergeCell ref="H38:H39"/>
    <mergeCell ref="I35:I37"/>
    <mergeCell ref="F21:F23"/>
    <mergeCell ref="I38:I39"/>
    <mergeCell ref="C21:C23"/>
    <mergeCell ref="I24:I26"/>
    <mergeCell ref="F33:F34"/>
    <mergeCell ref="D22:D23"/>
    <mergeCell ref="G21:G23"/>
    <mergeCell ref="E21:E23"/>
    <mergeCell ref="F24:F26"/>
    <mergeCell ref="G24:G26"/>
    <mergeCell ref="H24:H26"/>
    <mergeCell ref="D25:D26"/>
    <mergeCell ref="D33:D34"/>
    <mergeCell ref="B42:B46"/>
    <mergeCell ref="B30:B32"/>
    <mergeCell ref="A33:A37"/>
    <mergeCell ref="C42:C46"/>
    <mergeCell ref="E42:E46"/>
    <mergeCell ref="I42:I43"/>
    <mergeCell ref="D42:D43"/>
    <mergeCell ref="A27:A29"/>
    <mergeCell ref="B27:B29"/>
    <mergeCell ref="C27:C29"/>
    <mergeCell ref="G33:G37"/>
    <mergeCell ref="G38:G41"/>
    <mergeCell ref="I30:I32"/>
    <mergeCell ref="I33:I34"/>
    <mergeCell ref="A30:A32"/>
    <mergeCell ref="A42:A46"/>
    <mergeCell ref="A47:A50"/>
    <mergeCell ref="A38:A41"/>
    <mergeCell ref="B38:B41"/>
    <mergeCell ref="I44:I46"/>
    <mergeCell ref="G30:G32"/>
    <mergeCell ref="I40:I41"/>
    <mergeCell ref="E27:E29"/>
    <mergeCell ref="B33:B37"/>
    <mergeCell ref="E38:E41"/>
    <mergeCell ref="F38:F39"/>
    <mergeCell ref="D28:D29"/>
    <mergeCell ref="C30:C32"/>
    <mergeCell ref="D31:D32"/>
    <mergeCell ref="E30:E32"/>
    <mergeCell ref="F27:F29"/>
    <mergeCell ref="C33:C37"/>
    <mergeCell ref="E54:E57"/>
    <mergeCell ref="C38:C41"/>
    <mergeCell ref="F54:F57"/>
    <mergeCell ref="D40:D41"/>
    <mergeCell ref="C47:C50"/>
    <mergeCell ref="E81:E83"/>
    <mergeCell ref="E51:E53"/>
    <mergeCell ref="D82:D83"/>
    <mergeCell ref="C70:C74"/>
    <mergeCell ref="F44:F46"/>
    <mergeCell ref="G54:G57"/>
    <mergeCell ref="F35:F37"/>
    <mergeCell ref="H44:H46"/>
    <mergeCell ref="F78:F80"/>
    <mergeCell ref="H47:H50"/>
    <mergeCell ref="H51:H53"/>
    <mergeCell ref="G81:G83"/>
    <mergeCell ref="D49:D50"/>
    <mergeCell ref="D72:D74"/>
    <mergeCell ref="D35:D37"/>
    <mergeCell ref="D38:D39"/>
    <mergeCell ref="F47:F50"/>
    <mergeCell ref="H78:H80"/>
    <mergeCell ref="H60:H61"/>
    <mergeCell ref="B129:B130"/>
    <mergeCell ref="E33:E37"/>
    <mergeCell ref="H35:H37"/>
    <mergeCell ref="B104:B107"/>
    <mergeCell ref="C81:C83"/>
    <mergeCell ref="D101:D103"/>
    <mergeCell ref="G84:G87"/>
    <mergeCell ref="G27:G29"/>
    <mergeCell ref="H27:H29"/>
    <mergeCell ref="D44:D46"/>
    <mergeCell ref="H84:H85"/>
    <mergeCell ref="H101:H103"/>
    <mergeCell ref="F99:F100"/>
    <mergeCell ref="H99:H100"/>
    <mergeCell ref="E96:E98"/>
    <mergeCell ref="D97:D98"/>
    <mergeCell ref="A108:I110"/>
    <mergeCell ref="D111:D112"/>
    <mergeCell ref="F96:F98"/>
    <mergeCell ref="D94:D95"/>
    <mergeCell ref="B96:B98"/>
    <mergeCell ref="C96:C98"/>
    <mergeCell ref="E70:E74"/>
    <mergeCell ref="G99:G103"/>
    <mergeCell ref="G104:G107"/>
    <mergeCell ref="C99:C103"/>
    <mergeCell ref="F104:F105"/>
    <mergeCell ref="I99:I100"/>
    <mergeCell ref="G42:G46"/>
    <mergeCell ref="F42:F43"/>
    <mergeCell ref="H42:H43"/>
    <mergeCell ref="D55:D57"/>
    <mergeCell ref="B11:B13"/>
    <mergeCell ref="C11:C13"/>
    <mergeCell ref="F11:F13"/>
    <mergeCell ref="A51:A53"/>
    <mergeCell ref="I220:I221"/>
    <mergeCell ref="I195:I197"/>
    <mergeCell ref="I201:I203"/>
    <mergeCell ref="I230:I232"/>
    <mergeCell ref="H236:H237"/>
    <mergeCell ref="A111:A113"/>
    <mergeCell ref="A104:A107"/>
    <mergeCell ref="I47:I50"/>
    <mergeCell ref="G47:G50"/>
    <mergeCell ref="E129:E133"/>
    <mergeCell ref="I106:I107"/>
    <mergeCell ref="D106:D107"/>
    <mergeCell ref="E104:E107"/>
    <mergeCell ref="B78:B80"/>
    <mergeCell ref="B47:B50"/>
    <mergeCell ref="I78:I80"/>
    <mergeCell ref="G70:G74"/>
    <mergeCell ref="I27:I29"/>
    <mergeCell ref="F93:F95"/>
    <mergeCell ref="H21:H23"/>
    <mergeCell ref="H33:H34"/>
    <mergeCell ref="H30:H32"/>
    <mergeCell ref="F30:F32"/>
    <mergeCell ref="E47:E50"/>
    <mergeCell ref="C54:C57"/>
    <mergeCell ref="D52:D53"/>
    <mergeCell ref="D132:D133"/>
    <mergeCell ref="D99:D100"/>
    <mergeCell ref="K5:M5"/>
    <mergeCell ref="K7:M7"/>
    <mergeCell ref="A9:L9"/>
    <mergeCell ref="A11:A13"/>
    <mergeCell ref="D11:D12"/>
    <mergeCell ref="E11:E13"/>
    <mergeCell ref="A15:I17"/>
    <mergeCell ref="A21:A23"/>
    <mergeCell ref="B21:B23"/>
    <mergeCell ref="J12:J13"/>
    <mergeCell ref="G11:G13"/>
    <mergeCell ref="H11:H13"/>
    <mergeCell ref="I11:I13"/>
    <mergeCell ref="J11:M11"/>
    <mergeCell ref="L12:M12"/>
    <mergeCell ref="K12:K13"/>
    <mergeCell ref="B252:B253"/>
    <mergeCell ref="A240:A242"/>
    <mergeCell ref="G236:G237"/>
    <mergeCell ref="C240:C242"/>
    <mergeCell ref="D241:D242"/>
    <mergeCell ref="B238:B239"/>
    <mergeCell ref="C238:C239"/>
    <mergeCell ref="A236:A237"/>
    <mergeCell ref="A84:A87"/>
    <mergeCell ref="E91:E95"/>
    <mergeCell ref="F91:F92"/>
    <mergeCell ref="A75:I77"/>
    <mergeCell ref="C51:C53"/>
    <mergeCell ref="F240:F242"/>
    <mergeCell ref="A18:I20"/>
    <mergeCell ref="F101:F103"/>
    <mergeCell ref="M314:M315"/>
    <mergeCell ref="I312:I313"/>
    <mergeCell ref="F314:F316"/>
    <mergeCell ref="G314:G316"/>
    <mergeCell ref="H314:H316"/>
    <mergeCell ref="I314:I316"/>
    <mergeCell ref="E319:E320"/>
    <mergeCell ref="D273:D275"/>
    <mergeCell ref="E272:E275"/>
    <mergeCell ref="E252:E253"/>
    <mergeCell ref="K288:K289"/>
    <mergeCell ref="L288:L289"/>
    <mergeCell ref="J314:J315"/>
    <mergeCell ref="K314:K315"/>
    <mergeCell ref="F298:F299"/>
    <mergeCell ref="M288:M289"/>
    <mergeCell ref="H274:H275"/>
    <mergeCell ref="H272:H273"/>
    <mergeCell ref="F278:F279"/>
    <mergeCell ref="G278:G279"/>
    <mergeCell ref="H276:H277"/>
    <mergeCell ref="L314:L315"/>
    <mergeCell ref="I262:I263"/>
    <mergeCell ref="E292:E295"/>
    <mergeCell ref="F294:F295"/>
    <mergeCell ref="E304:E305"/>
    <mergeCell ref="I292:I293"/>
    <mergeCell ref="E268:E271"/>
    <mergeCell ref="G298:G299"/>
    <mergeCell ref="E306:E307"/>
    <mergeCell ref="I310:I311"/>
    <mergeCell ref="F312:F313"/>
    <mergeCell ref="C351:C354"/>
    <mergeCell ref="D351:D352"/>
    <mergeCell ref="E351:E354"/>
    <mergeCell ref="D353:D354"/>
    <mergeCell ref="G377:G378"/>
    <mergeCell ref="H377:H378"/>
    <mergeCell ref="B388:B391"/>
    <mergeCell ref="H388:H389"/>
    <mergeCell ref="H371:H372"/>
    <mergeCell ref="C388:C391"/>
    <mergeCell ref="G367:G370"/>
    <mergeCell ref="E359:E362"/>
    <mergeCell ref="D361:D362"/>
    <mergeCell ref="D365:D366"/>
    <mergeCell ref="A371:A374"/>
    <mergeCell ref="A383:A387"/>
    <mergeCell ref="G371:G374"/>
    <mergeCell ref="H373:H374"/>
    <mergeCell ref="B383:B387"/>
    <mergeCell ref="C383:C387"/>
    <mergeCell ref="E383:E387"/>
    <mergeCell ref="F383:F384"/>
    <mergeCell ref="G383:G387"/>
    <mergeCell ref="H383:H384"/>
    <mergeCell ref="A379:A382"/>
    <mergeCell ref="B379:B382"/>
    <mergeCell ref="C379:C382"/>
    <mergeCell ref="D379:D380"/>
    <mergeCell ref="G359:G362"/>
    <mergeCell ref="A335:A338"/>
    <mergeCell ref="B335:B338"/>
    <mergeCell ref="D345:D346"/>
    <mergeCell ref="D325:D326"/>
    <mergeCell ref="D323:D324"/>
    <mergeCell ref="C314:C316"/>
    <mergeCell ref="E335:E338"/>
    <mergeCell ref="D329:D330"/>
    <mergeCell ref="E347:E350"/>
    <mergeCell ref="A339:A342"/>
    <mergeCell ref="C327:C330"/>
    <mergeCell ref="D377:D378"/>
    <mergeCell ref="F377:F378"/>
    <mergeCell ref="F371:F372"/>
    <mergeCell ref="E367:E370"/>
    <mergeCell ref="B371:B374"/>
    <mergeCell ref="B343:B346"/>
    <mergeCell ref="C343:C346"/>
    <mergeCell ref="F355:F356"/>
    <mergeCell ref="F357:F358"/>
    <mergeCell ref="F351:F352"/>
    <mergeCell ref="D359:D360"/>
    <mergeCell ref="F365:F366"/>
    <mergeCell ref="A347:A350"/>
    <mergeCell ref="D349:D350"/>
    <mergeCell ref="A321:A322"/>
    <mergeCell ref="A323:A326"/>
    <mergeCell ref="B347:B350"/>
    <mergeCell ref="E343:E346"/>
    <mergeCell ref="F343:F344"/>
    <mergeCell ref="A351:A354"/>
    <mergeCell ref="B351:B354"/>
    <mergeCell ref="G347:G350"/>
    <mergeCell ref="I337:I338"/>
    <mergeCell ref="H349:H350"/>
    <mergeCell ref="F359:F360"/>
    <mergeCell ref="G319:G320"/>
    <mergeCell ref="I317:I318"/>
    <mergeCell ref="F327:F328"/>
    <mergeCell ref="F367:F368"/>
    <mergeCell ref="E317:E318"/>
    <mergeCell ref="F321:F322"/>
    <mergeCell ref="F325:F326"/>
    <mergeCell ref="F349:F350"/>
    <mergeCell ref="G327:G330"/>
    <mergeCell ref="F347:F348"/>
    <mergeCell ref="E363:E366"/>
    <mergeCell ref="H339:H340"/>
    <mergeCell ref="G335:G338"/>
    <mergeCell ref="H351:H352"/>
    <mergeCell ref="G363:G366"/>
    <mergeCell ref="H363:H364"/>
    <mergeCell ref="H365:H366"/>
    <mergeCell ref="H317:H318"/>
    <mergeCell ref="H321:H322"/>
    <mergeCell ref="D327:D328"/>
    <mergeCell ref="E327:E330"/>
    <mergeCell ref="H323:H324"/>
    <mergeCell ref="H361:H362"/>
    <mergeCell ref="I365:I366"/>
    <mergeCell ref="B323:B326"/>
    <mergeCell ref="C323:C326"/>
    <mergeCell ref="C331:C334"/>
    <mergeCell ref="D331:D332"/>
    <mergeCell ref="F335:F336"/>
    <mergeCell ref="F333:F334"/>
    <mergeCell ref="D337:D338"/>
    <mergeCell ref="F341:F342"/>
    <mergeCell ref="F363:F364"/>
    <mergeCell ref="H327:H328"/>
    <mergeCell ref="F339:F340"/>
    <mergeCell ref="C339:C342"/>
    <mergeCell ref="D339:D340"/>
    <mergeCell ref="E339:E342"/>
    <mergeCell ref="I363:I364"/>
    <mergeCell ref="G351:G354"/>
    <mergeCell ref="I353:I354"/>
    <mergeCell ref="H345:H346"/>
    <mergeCell ref="I345:I346"/>
    <mergeCell ref="G343:G346"/>
    <mergeCell ref="H359:H360"/>
    <mergeCell ref="I359:I360"/>
    <mergeCell ref="I361:I362"/>
    <mergeCell ref="D335:D336"/>
    <mergeCell ref="H355:H356"/>
    <mergeCell ref="H357:H358"/>
    <mergeCell ref="G355:G358"/>
    <mergeCell ref="I371:I372"/>
    <mergeCell ref="D373:D374"/>
    <mergeCell ref="F373:F374"/>
    <mergeCell ref="I373:I374"/>
    <mergeCell ref="F323:F324"/>
    <mergeCell ref="I375:I376"/>
    <mergeCell ref="G402:G403"/>
    <mergeCell ref="I404:I405"/>
    <mergeCell ref="H406:H407"/>
    <mergeCell ref="I406:I407"/>
    <mergeCell ref="I304:I305"/>
    <mergeCell ref="G304:G305"/>
    <mergeCell ref="I349:I350"/>
    <mergeCell ref="H398:H399"/>
    <mergeCell ref="I398:I399"/>
    <mergeCell ref="I402:I403"/>
    <mergeCell ref="F390:F391"/>
    <mergeCell ref="D369:D370"/>
    <mergeCell ref="F369:F370"/>
    <mergeCell ref="E321:E322"/>
    <mergeCell ref="D343:D344"/>
    <mergeCell ref="F345:F346"/>
    <mergeCell ref="F306:F307"/>
    <mergeCell ref="E310:E311"/>
    <mergeCell ref="F361:F362"/>
    <mergeCell ref="I392:I394"/>
    <mergeCell ref="I388:I389"/>
    <mergeCell ref="I323:I324"/>
    <mergeCell ref="H367:H368"/>
    <mergeCell ref="I367:I368"/>
    <mergeCell ref="H369:H370"/>
    <mergeCell ref="I369:I370"/>
    <mergeCell ref="K1:M1"/>
    <mergeCell ref="I347:I348"/>
    <mergeCell ref="H325:H326"/>
    <mergeCell ref="I325:I326"/>
    <mergeCell ref="I319:I320"/>
    <mergeCell ref="I341:I342"/>
    <mergeCell ref="I331:I332"/>
    <mergeCell ref="I333:I334"/>
    <mergeCell ref="I335:I336"/>
    <mergeCell ref="A312:A313"/>
    <mergeCell ref="B312:B313"/>
    <mergeCell ref="B314:B316"/>
    <mergeCell ref="A310:A311"/>
    <mergeCell ref="A319:A320"/>
    <mergeCell ref="B310:B311"/>
    <mergeCell ref="B339:B342"/>
    <mergeCell ref="B321:B322"/>
    <mergeCell ref="C335:C338"/>
    <mergeCell ref="F319:F320"/>
    <mergeCell ref="F300:F301"/>
    <mergeCell ref="H319:H320"/>
    <mergeCell ref="H310:H311"/>
    <mergeCell ref="D270:D271"/>
    <mergeCell ref="I258:I259"/>
    <mergeCell ref="B300:B303"/>
    <mergeCell ref="A276:A279"/>
    <mergeCell ref="F262:F263"/>
    <mergeCell ref="F272:F273"/>
    <mergeCell ref="K3:M3"/>
    <mergeCell ref="D222:D223"/>
    <mergeCell ref="A314:A316"/>
    <mergeCell ref="E312:E313"/>
    <mergeCell ref="A252:A253"/>
    <mergeCell ref="F310:F311"/>
    <mergeCell ref="I280:I281"/>
    <mergeCell ref="I300:I301"/>
    <mergeCell ref="H308:H309"/>
    <mergeCell ref="I308:I309"/>
    <mergeCell ref="G310:G311"/>
    <mergeCell ref="I298:I299"/>
    <mergeCell ref="F296:F297"/>
    <mergeCell ref="G296:G297"/>
    <mergeCell ref="D260:D261"/>
    <mergeCell ref="D262:D263"/>
    <mergeCell ref="E260:E263"/>
    <mergeCell ref="D277:D279"/>
    <mergeCell ref="E314:E316"/>
    <mergeCell ref="G308:G309"/>
    <mergeCell ref="F274:F275"/>
    <mergeCell ref="G274:G275"/>
    <mergeCell ref="G272:G273"/>
    <mergeCell ref="G286:G291"/>
    <mergeCell ref="I264:I265"/>
    <mergeCell ref="H268:H269"/>
    <mergeCell ref="H270:H271"/>
    <mergeCell ref="I294:I295"/>
    <mergeCell ref="H286:H287"/>
    <mergeCell ref="F282:F283"/>
    <mergeCell ref="G282:G285"/>
    <mergeCell ref="I266:I267"/>
    <mergeCell ref="I270:I271"/>
    <mergeCell ref="F264:F265"/>
    <mergeCell ref="F270:F271"/>
    <mergeCell ref="D268:D269"/>
    <mergeCell ref="H294:H295"/>
    <mergeCell ref="G300:G303"/>
    <mergeCell ref="G323:G326"/>
    <mergeCell ref="A304:A305"/>
    <mergeCell ref="D292:D293"/>
    <mergeCell ref="C300:C303"/>
    <mergeCell ref="D300:D301"/>
    <mergeCell ref="C308:C309"/>
    <mergeCell ref="B308:B309"/>
    <mergeCell ref="B304:B305"/>
    <mergeCell ref="C310:C311"/>
    <mergeCell ref="B317:B318"/>
    <mergeCell ref="C317:C318"/>
    <mergeCell ref="E308:E309"/>
    <mergeCell ref="I302:I303"/>
    <mergeCell ref="G268:G271"/>
    <mergeCell ref="D258:D259"/>
    <mergeCell ref="C276:C279"/>
    <mergeCell ref="A260:A263"/>
    <mergeCell ref="H304:H305"/>
    <mergeCell ref="G264:G267"/>
    <mergeCell ref="H266:H267"/>
    <mergeCell ref="A317:A318"/>
    <mergeCell ref="B319:B320"/>
    <mergeCell ref="C280:C281"/>
    <mergeCell ref="E280:E281"/>
    <mergeCell ref="A286:A291"/>
    <mergeCell ref="G312:G313"/>
    <mergeCell ref="H312:H313"/>
    <mergeCell ref="D302:D303"/>
    <mergeCell ref="K222:K223"/>
    <mergeCell ref="L222:L223"/>
    <mergeCell ref="M222:M223"/>
    <mergeCell ref="A308:A309"/>
    <mergeCell ref="F276:F277"/>
    <mergeCell ref="G276:G277"/>
    <mergeCell ref="F288:F291"/>
    <mergeCell ref="H288:H291"/>
    <mergeCell ref="I296:I297"/>
    <mergeCell ref="K240:K241"/>
    <mergeCell ref="J245:J246"/>
    <mergeCell ref="H245:H247"/>
    <mergeCell ref="K245:K246"/>
    <mergeCell ref="F250:F251"/>
    <mergeCell ref="I250:I251"/>
    <mergeCell ref="G250:G251"/>
    <mergeCell ref="F254:F255"/>
    <mergeCell ref="F248:F249"/>
    <mergeCell ref="G254:G255"/>
    <mergeCell ref="F280:F281"/>
    <mergeCell ref="G243:G247"/>
    <mergeCell ref="D243:D244"/>
    <mergeCell ref="E256:E259"/>
    <mergeCell ref="H243:H244"/>
    <mergeCell ref="L240:L241"/>
    <mergeCell ref="A238:A239"/>
    <mergeCell ref="A256:A259"/>
    <mergeCell ref="M240:M241"/>
    <mergeCell ref="M245:M246"/>
    <mergeCell ref="F236:F237"/>
    <mergeCell ref="H233:H235"/>
    <mergeCell ref="H222:H224"/>
    <mergeCell ref="I383:I384"/>
    <mergeCell ref="D385:D387"/>
    <mergeCell ref="F385:F387"/>
    <mergeCell ref="H385:H387"/>
    <mergeCell ref="I385:I387"/>
    <mergeCell ref="J225:J226"/>
    <mergeCell ref="F225:F226"/>
    <mergeCell ref="A222:A226"/>
    <mergeCell ref="B222:B226"/>
    <mergeCell ref="C222:C226"/>
    <mergeCell ref="D224:D226"/>
    <mergeCell ref="E222:E226"/>
    <mergeCell ref="H225:H226"/>
    <mergeCell ref="I225:I226"/>
    <mergeCell ref="A306:A307"/>
    <mergeCell ref="F308:F309"/>
    <mergeCell ref="I268:I269"/>
    <mergeCell ref="B256:B259"/>
    <mergeCell ref="E276:E279"/>
    <mergeCell ref="I222:I224"/>
    <mergeCell ref="J222:J223"/>
    <mergeCell ref="J288:J289"/>
    <mergeCell ref="B260:B263"/>
    <mergeCell ref="A264:A267"/>
    <mergeCell ref="I343:I344"/>
    <mergeCell ref="G317:G318"/>
    <mergeCell ref="H300:H301"/>
    <mergeCell ref="G321:G322"/>
    <mergeCell ref="F222:F224"/>
    <mergeCell ref="F260:F261"/>
    <mergeCell ref="G292:G295"/>
    <mergeCell ref="I321:I32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1" fitToHeight="15" orientation="landscape" blackAndWhite="1" r:id="rId1"/>
  <headerFooter differentFirst="1" alignWithMargins="0">
    <oddHeader>&amp;C&amp;"Times New Roman,обычный"&amp;P</oddHeader>
  </headerFooter>
  <rowBreaks count="12" manualBreakCount="12">
    <brk id="32" max="12" man="1"/>
    <brk id="69" max="12" man="1"/>
    <brk id="107" max="12" man="1"/>
    <brk id="147" max="12" man="1"/>
    <brk id="186" max="12" man="1"/>
    <brk id="226" max="12" man="1"/>
    <brk id="251" max="12" man="1"/>
    <brk id="281" max="12" man="1"/>
    <brk id="313" max="12" man="1"/>
    <brk id="346" max="12" man="1"/>
    <brk id="376" max="12" man="1"/>
    <brk id="40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</vt:lpstr>
      <vt:lpstr>'2025-2027'!Заголовки_для_печати</vt:lpstr>
      <vt:lpstr>'2025-2027'!Область_печати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2025-10-22T10:01:19Z</cp:lastPrinted>
  <dcterms:created xsi:type="dcterms:W3CDTF">2021-11-12T08:21:59Z</dcterms:created>
  <dcterms:modified xsi:type="dcterms:W3CDTF">2025-11-06T09:59:12Z</dcterms:modified>
</cp:coreProperties>
</file>