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Задоркина\Desktop\"/>
    </mc:Choice>
  </mc:AlternateContent>
  <xr:revisionPtr revIDLastSave="0" documentId="13_ncr:1_{087E7BD9-82BE-4B8C-A022-AC86895D40AF}" xr6:coauthVersionLast="47" xr6:coauthVersionMax="47" xr10:uidLastSave="{00000000-0000-0000-0000-000000000000}"/>
  <bookViews>
    <workbookView xWindow="-120" yWindow="-120" windowWidth="29040" windowHeight="15840" tabRatio="761" firstSheet="15" activeTab="15" xr2:uid="{00000000-000D-0000-FFFF-FFFF00000000}"/>
  </bookViews>
  <sheets>
    <sheet name="2021 МП Приложение 1" sheetId="24" state="hidden" r:id="rId1"/>
    <sheet name="2022 МП Приложение 1" sheetId="10" state="hidden" r:id="rId2"/>
    <sheet name="Приложение 2" sheetId="11" state="hidden" r:id="rId3"/>
    <sheet name="2021 МП Приложение 3 Систем" sheetId="25" state="hidden" r:id="rId4"/>
    <sheet name="2022 МП Приложение 3 Система" sheetId="12" state="hidden" r:id="rId5"/>
    <sheet name="2021_Приложение 4 Деньги" sheetId="23" state="hidden" r:id="rId6"/>
    <sheet name="2022 МП Приложение 4 Деньги" sheetId="15" state="hidden" r:id="rId7"/>
    <sheet name="пример" sheetId="8" state="hidden" r:id="rId8"/>
    <sheet name="квартальный отчет Вариант 1" sheetId="4" state="hidden" r:id="rId9"/>
    <sheet name="Приложение 5 План 2021" sheetId="20" state="hidden" r:id="rId10"/>
    <sheet name="Приложение 5 План 2022" sheetId="21" state="hidden" r:id="rId11"/>
    <sheet name="Приложение 6" sheetId="18" state="hidden" r:id="rId12"/>
    <sheet name="Приложение 7" sheetId="19" state="hidden" r:id="rId13"/>
    <sheet name="Приложение 5 План 2022-2024" sheetId="26" state="hidden" r:id="rId14"/>
    <sheet name="02.09.2022" sheetId="27" state="hidden" r:id="rId15"/>
    <sheet name="01 проект 2025" sheetId="36" r:id="rId16"/>
    <sheet name="01 процесс 2025" sheetId="33" r:id="rId17"/>
    <sheet name="02 процесс 2025" sheetId="34" r:id="rId18"/>
    <sheet name="03 процесс 2025" sheetId="35" r:id="rId19"/>
    <sheet name="04 процесс 2025 " sheetId="37" r:id="rId20"/>
    <sheet name="Ноябрь" sheetId="28" state="hidden" r:id="rId21"/>
  </sheets>
  <definedNames>
    <definedName name="_xlnm._FilterDatabase" localSheetId="15" hidden="1">'01 проект 2025'!$C$14:$N$84</definedName>
    <definedName name="_xlnm._FilterDatabase" localSheetId="16" hidden="1">'01 процесс 2025'!$C$14:$N$34</definedName>
    <definedName name="_xlnm._FilterDatabase" localSheetId="17" hidden="1">'02 процесс 2025'!$C$14:$N$66</definedName>
    <definedName name="_xlnm._FilterDatabase" localSheetId="14" hidden="1">'02.09.2022'!$B$13:$Q$751</definedName>
    <definedName name="_xlnm._FilterDatabase" localSheetId="18" hidden="1">'03 процесс 2025'!$C$14:$O$32</definedName>
    <definedName name="_xlnm._FilterDatabase" localSheetId="19" hidden="1">'04 процесс 2025 '!$C$14:$O$47</definedName>
    <definedName name="_xlnm._FilterDatabase" localSheetId="20" hidden="1">Ноябрь!$B$14:$Q$701</definedName>
    <definedName name="_xlnm._FilterDatabase" localSheetId="9" hidden="1">'Приложение 5 План 2021'!$B$10:$S$204</definedName>
    <definedName name="_xlnm._FilterDatabase" localSheetId="10" hidden="1">'Приложение 5 План 2022'!$B$10:$O$87</definedName>
    <definedName name="_xlnm._FilterDatabase" localSheetId="13" hidden="1">'Приложение 5 План 2022-2024'!$B$13:$Q$707</definedName>
    <definedName name="_xlnm._FilterDatabase" localSheetId="7" hidden="1">пример!$A$3:$O$16</definedName>
    <definedName name="_xlnm.Print_Titles" localSheetId="15">'01 проект 2025'!$14:$14</definedName>
    <definedName name="_xlnm.Print_Titles" localSheetId="16">'01 процесс 2025'!$14:$14</definedName>
    <definedName name="_xlnm.Print_Titles" localSheetId="17">'02 процесс 2025'!$14:$14</definedName>
    <definedName name="_xlnm.Print_Titles" localSheetId="14">'02.09.2022'!$13:$13</definedName>
    <definedName name="_xlnm.Print_Titles" localSheetId="18">'03 процесс 2025'!$14:$14</definedName>
    <definedName name="_xlnm.Print_Titles" localSheetId="19">'04 процесс 2025 '!$14:$14</definedName>
    <definedName name="_xlnm.Print_Titles" localSheetId="3">'2021 МП Приложение 3 Систем'!$7:$7</definedName>
    <definedName name="_xlnm.Print_Titles" localSheetId="5">'2021_Приложение 4 Деньги'!$15:$15</definedName>
    <definedName name="_xlnm.Print_Titles" localSheetId="4">'2022 МП Приложение 3 Система'!$7:$7</definedName>
    <definedName name="_xlnm.Print_Titles" localSheetId="6">'2022 МП Приложение 4 Деньги'!$15:$15</definedName>
    <definedName name="_xlnm.Print_Titles" localSheetId="20">Ноябрь!$14:$14</definedName>
    <definedName name="_xlnm.Print_Titles" localSheetId="9">'Приложение 5 План 2021'!$12:$12</definedName>
    <definedName name="_xlnm.Print_Titles" localSheetId="10">'Приложение 5 План 2022'!$12:$12</definedName>
    <definedName name="_xlnm.Print_Titles" localSheetId="13">'Приложение 5 План 2022-2024'!$13:$13</definedName>
    <definedName name="_xlnm.Print_Titles" localSheetId="11">'Приложение 6'!$9:$9</definedName>
    <definedName name="_xlnm.Print_Titles" localSheetId="12">'Приложение 7'!$6:$6</definedName>
    <definedName name="километр" localSheetId="15">#REF!</definedName>
    <definedName name="километр" localSheetId="16">#REF!</definedName>
    <definedName name="километр" localSheetId="17">#REF!</definedName>
    <definedName name="километр" localSheetId="14">#REF!</definedName>
    <definedName name="километр" localSheetId="18">#REF!</definedName>
    <definedName name="километр" localSheetId="19">#REF!</definedName>
    <definedName name="километр" localSheetId="0">#REF!</definedName>
    <definedName name="километр" localSheetId="3">#REF!</definedName>
    <definedName name="километр" localSheetId="5">#REF!</definedName>
    <definedName name="километр" localSheetId="6">#REF!</definedName>
    <definedName name="километр" localSheetId="8">#REF!</definedName>
    <definedName name="километр" localSheetId="20">#REF!</definedName>
    <definedName name="километр" localSheetId="10">#REF!</definedName>
    <definedName name="километр" localSheetId="7">#REF!</definedName>
    <definedName name="километр">#REF!</definedName>
    <definedName name="_xlnm.Print_Area" localSheetId="5">'2021_Приложение 4 Деньги'!$A$1:$G$78</definedName>
    <definedName name="_xlnm.Print_Area" localSheetId="6">'2022 МП Приложение 4 Деньги'!$A$1:$G$96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8" i="35" l="1"/>
  <c r="O28" i="35"/>
  <c r="L30" i="34"/>
  <c r="L15" i="33"/>
  <c r="M15" i="33"/>
  <c r="N15" i="33"/>
  <c r="K52" i="35"/>
  <c r="L52" i="35"/>
  <c r="J52" i="35"/>
  <c r="N16" i="37"/>
  <c r="N15" i="37" s="1"/>
  <c r="O16" i="37"/>
  <c r="O15" i="37" s="1"/>
  <c r="M16" i="37"/>
  <c r="M15" i="37" s="1"/>
  <c r="N52" i="35"/>
  <c r="O52" i="35"/>
  <c r="M52" i="35"/>
  <c r="L120" i="33"/>
  <c r="L63" i="33" s="1"/>
  <c r="J49" i="35"/>
  <c r="N16" i="34"/>
  <c r="M16" i="34"/>
  <c r="N28" i="33"/>
  <c r="M28" i="33"/>
  <c r="L28" i="33"/>
  <c r="K28" i="33"/>
  <c r="J28" i="33"/>
  <c r="I28" i="33"/>
  <c r="K17" i="34"/>
  <c r="J17" i="34"/>
  <c r="I17" i="34"/>
  <c r="J16" i="34"/>
  <c r="K16" i="34"/>
  <c r="I16" i="34"/>
  <c r="L16" i="33"/>
  <c r="M16" i="33"/>
  <c r="N16" i="33"/>
  <c r="J16" i="33"/>
  <c r="K16" i="33"/>
  <c r="I16" i="33"/>
  <c r="P17" i="37"/>
  <c r="P15" i="37" s="1"/>
  <c r="Q17" i="37"/>
  <c r="Q15" i="37" s="1"/>
  <c r="R17" i="37"/>
  <c r="R15" i="37" s="1"/>
  <c r="S17" i="37"/>
  <c r="S15" i="37" s="1"/>
  <c r="T17" i="37"/>
  <c r="T15" i="37" s="1"/>
  <c r="U17" i="37"/>
  <c r="U15" i="37" s="1"/>
  <c r="V17" i="37"/>
  <c r="V15" i="37"/>
  <c r="W17" i="37"/>
  <c r="W15" i="37" s="1"/>
  <c r="X17" i="37"/>
  <c r="X15" i="37" s="1"/>
  <c r="L84" i="36"/>
  <c r="N62" i="36"/>
  <c r="M62" i="36"/>
  <c r="L62" i="36"/>
  <c r="I62" i="36"/>
  <c r="W16" i="36"/>
  <c r="V16" i="36"/>
  <c r="U16" i="36"/>
  <c r="T16" i="36"/>
  <c r="S16" i="36"/>
  <c r="R16" i="36"/>
  <c r="Q16" i="36"/>
  <c r="P16" i="36"/>
  <c r="O16" i="36"/>
  <c r="N16" i="36"/>
  <c r="M16" i="36"/>
  <c r="L16" i="36"/>
  <c r="J28" i="35"/>
  <c r="K28" i="35"/>
  <c r="L28" i="35"/>
  <c r="J17" i="35"/>
  <c r="L55" i="33"/>
  <c r="M17" i="35"/>
  <c r="M16" i="35" s="1"/>
  <c r="M28" i="35"/>
  <c r="L16" i="34"/>
  <c r="L28" i="34"/>
  <c r="M28" i="34"/>
  <c r="N28" i="34"/>
  <c r="M30" i="34"/>
  <c r="N30" i="34"/>
  <c r="L34" i="34"/>
  <c r="M34" i="34"/>
  <c r="N34" i="34"/>
  <c r="J55" i="33"/>
  <c r="K55" i="33"/>
  <c r="I55" i="33"/>
  <c r="O28" i="33"/>
  <c r="P28" i="33"/>
  <c r="Q28" i="33"/>
  <c r="R28" i="33"/>
  <c r="S28" i="33"/>
  <c r="T28" i="33"/>
  <c r="U28" i="33"/>
  <c r="V28" i="33"/>
  <c r="W28" i="33"/>
  <c r="M55" i="33"/>
  <c r="N55" i="33"/>
  <c r="O55" i="33"/>
  <c r="P55" i="33"/>
  <c r="M63" i="33"/>
  <c r="N63" i="33"/>
  <c r="Q55" i="33"/>
  <c r="R55" i="33"/>
  <c r="S55" i="33"/>
  <c r="T55" i="33"/>
  <c r="U55" i="33"/>
  <c r="V55" i="33"/>
  <c r="W55" i="33"/>
  <c r="N17" i="35"/>
  <c r="O17" i="35"/>
  <c r="O16" i="35" s="1"/>
  <c r="N44" i="35"/>
  <c r="O44" i="35"/>
  <c r="M44" i="35"/>
  <c r="N46" i="35"/>
  <c r="O46" i="35"/>
  <c r="M46" i="35"/>
  <c r="N49" i="35"/>
  <c r="O49" i="35"/>
  <c r="M49" i="35"/>
  <c r="O15" i="34"/>
  <c r="P15" i="34"/>
  <c r="Q15" i="34"/>
  <c r="R15" i="34"/>
  <c r="S15" i="34"/>
  <c r="T15" i="34"/>
  <c r="U15" i="34"/>
  <c r="V15" i="34"/>
  <c r="W15" i="34"/>
  <c r="L49" i="35"/>
  <c r="K49" i="35"/>
  <c r="L46" i="35"/>
  <c r="K46" i="35"/>
  <c r="J46" i="35"/>
  <c r="L17" i="35"/>
  <c r="K17" i="35"/>
  <c r="O16" i="34"/>
  <c r="O16" i="33"/>
  <c r="Q602" i="28"/>
  <c r="P602" i="28"/>
  <c r="L585" i="28"/>
  <c r="L583" i="28"/>
  <c r="K585" i="28"/>
  <c r="K583" i="28"/>
  <c r="I583" i="28"/>
  <c r="I585" i="28"/>
  <c r="V581" i="28" s="1"/>
  <c r="W581" i="28" s="1"/>
  <c r="I383" i="28"/>
  <c r="I399" i="28"/>
  <c r="I379" i="28"/>
  <c r="L211" i="28"/>
  <c r="K211" i="28"/>
  <c r="I211" i="28"/>
  <c r="K163" i="28"/>
  <c r="L163" i="28"/>
  <c r="I163" i="28"/>
  <c r="Q175" i="28"/>
  <c r="P71" i="28"/>
  <c r="Q71" i="28"/>
  <c r="O71" i="28"/>
  <c r="P67" i="28"/>
  <c r="Q67" i="28"/>
  <c r="O67" i="28"/>
  <c r="O20" i="28"/>
  <c r="P369" i="28"/>
  <c r="Q369" i="28"/>
  <c r="P461" i="28"/>
  <c r="Q461" i="28"/>
  <c r="Q462" i="28"/>
  <c r="P462" i="28"/>
  <c r="O462" i="28"/>
  <c r="O461" i="28"/>
  <c r="Q460" i="28"/>
  <c r="Q459" i="28" s="1"/>
  <c r="P460" i="28"/>
  <c r="P459" i="28" s="1"/>
  <c r="O460" i="28"/>
  <c r="P453" i="28"/>
  <c r="Q453" i="28"/>
  <c r="O453" i="28"/>
  <c r="L427" i="28"/>
  <c r="K427" i="28"/>
  <c r="I427" i="28"/>
  <c r="H111" i="28"/>
  <c r="L111" i="28"/>
  <c r="K111" i="28"/>
  <c r="I111" i="28"/>
  <c r="L63" i="28"/>
  <c r="K63" i="28"/>
  <c r="I63" i="28"/>
  <c r="R443" i="28"/>
  <c r="S443" i="28"/>
  <c r="T443" i="28"/>
  <c r="O369" i="28"/>
  <c r="O444" i="28"/>
  <c r="Q444" i="28"/>
  <c r="Q445" i="28"/>
  <c r="O445" i="28"/>
  <c r="O443" i="28" s="1"/>
  <c r="Q447" i="28"/>
  <c r="O447" i="28"/>
  <c r="P445" i="28"/>
  <c r="P444" i="28"/>
  <c r="O165" i="28"/>
  <c r="O167" i="28"/>
  <c r="P167" i="28"/>
  <c r="Q167" i="28"/>
  <c r="O171" i="28"/>
  <c r="P171" i="28"/>
  <c r="Q171" i="28"/>
  <c r="O175" i="28"/>
  <c r="P175" i="28"/>
  <c r="O179" i="28"/>
  <c r="P179" i="28"/>
  <c r="Q179" i="28"/>
  <c r="O183" i="28"/>
  <c r="P183" i="28"/>
  <c r="Q183" i="28"/>
  <c r="O187" i="28"/>
  <c r="P187" i="28"/>
  <c r="Q187" i="28"/>
  <c r="O191" i="28"/>
  <c r="P191" i="28"/>
  <c r="Q191" i="28"/>
  <c r="O195" i="28"/>
  <c r="P195" i="28"/>
  <c r="Q195" i="28"/>
  <c r="O199" i="28"/>
  <c r="P199" i="28"/>
  <c r="Q199" i="28"/>
  <c r="O203" i="28"/>
  <c r="P203" i="28"/>
  <c r="Q203" i="28"/>
  <c r="O207" i="28"/>
  <c r="P207" i="28"/>
  <c r="Q207" i="28"/>
  <c r="O213" i="28"/>
  <c r="P213" i="28"/>
  <c r="Q213" i="28"/>
  <c r="O215" i="28"/>
  <c r="P215" i="28"/>
  <c r="Q215" i="28"/>
  <c r="O219" i="28"/>
  <c r="P219" i="28"/>
  <c r="Q219" i="28"/>
  <c r="O668" i="28"/>
  <c r="O662" i="28" s="1"/>
  <c r="O602" i="28"/>
  <c r="Q652" i="28"/>
  <c r="P652" i="28"/>
  <c r="O652" i="28"/>
  <c r="Q648" i="28"/>
  <c r="P648" i="28"/>
  <c r="O648" i="28"/>
  <c r="Q644" i="28"/>
  <c r="P644" i="28"/>
  <c r="O644" i="28"/>
  <c r="Q636" i="28"/>
  <c r="P636" i="28"/>
  <c r="O636" i="28"/>
  <c r="O632" i="28"/>
  <c r="P632" i="28"/>
  <c r="Q632" i="28"/>
  <c r="O640" i="28"/>
  <c r="P640" i="28"/>
  <c r="Q640" i="28"/>
  <c r="T600" i="28"/>
  <c r="S600" i="28"/>
  <c r="R600" i="28"/>
  <c r="T555" i="28"/>
  <c r="S555" i="28"/>
  <c r="R555" i="28"/>
  <c r="T579" i="28"/>
  <c r="S579" i="28"/>
  <c r="R579" i="28"/>
  <c r="P469" i="28"/>
  <c r="P467" i="28" s="1"/>
  <c r="Q469" i="28"/>
  <c r="Q467" i="28" s="1"/>
  <c r="O469" i="28"/>
  <c r="O467" i="28" s="1"/>
  <c r="O479" i="28"/>
  <c r="P479" i="28"/>
  <c r="Q479" i="28"/>
  <c r="T467" i="28"/>
  <c r="S467" i="28"/>
  <c r="R467" i="28"/>
  <c r="P429" i="28"/>
  <c r="Q429" i="28"/>
  <c r="O429" i="28"/>
  <c r="O427" i="28" s="1"/>
  <c r="T427" i="28"/>
  <c r="S427" i="28"/>
  <c r="R427" i="28"/>
  <c r="T367" i="28"/>
  <c r="S367" i="28"/>
  <c r="R367" i="28"/>
  <c r="O370" i="28"/>
  <c r="P370" i="28"/>
  <c r="Q370" i="28"/>
  <c r="P368" i="28"/>
  <c r="Q368" i="28"/>
  <c r="P415" i="28"/>
  <c r="Q415" i="28"/>
  <c r="O415" i="28"/>
  <c r="P407" i="28"/>
  <c r="Q407" i="28"/>
  <c r="O407" i="28"/>
  <c r="P403" i="28"/>
  <c r="Q403" i="28"/>
  <c r="O403" i="28"/>
  <c r="P399" i="28"/>
  <c r="Q399" i="28"/>
  <c r="O399" i="28"/>
  <c r="P395" i="28"/>
  <c r="Q395" i="28"/>
  <c r="O395" i="28"/>
  <c r="P391" i="28"/>
  <c r="Q391" i="28"/>
  <c r="O391" i="28"/>
  <c r="P387" i="28"/>
  <c r="Q387" i="28"/>
  <c r="O387" i="28"/>
  <c r="P383" i="28"/>
  <c r="Q383" i="28"/>
  <c r="O383" i="28"/>
  <c r="P379" i="28"/>
  <c r="Q379" i="28"/>
  <c r="O379" i="28"/>
  <c r="P375" i="28"/>
  <c r="Q375" i="28"/>
  <c r="O375" i="28"/>
  <c r="P371" i="28"/>
  <c r="Q371" i="28"/>
  <c r="O371" i="28"/>
  <c r="T159" i="28"/>
  <c r="P165" i="28"/>
  <c r="Q165" i="28"/>
  <c r="S159" i="28"/>
  <c r="R159" i="28"/>
  <c r="T247" i="28"/>
  <c r="S247" i="28"/>
  <c r="R247" i="28"/>
  <c r="O248" i="28"/>
  <c r="P248" i="28"/>
  <c r="P212" i="28" s="1"/>
  <c r="Q248" i="28"/>
  <c r="Q247" i="28" s="1"/>
  <c r="T248" i="28" s="1"/>
  <c r="O250" i="28"/>
  <c r="P250" i="28"/>
  <c r="Q250" i="28"/>
  <c r="P249" i="28"/>
  <c r="Q249" i="28"/>
  <c r="O249" i="28"/>
  <c r="O161" i="28" s="1"/>
  <c r="Q279" i="28"/>
  <c r="P279" i="28"/>
  <c r="O279" i="28"/>
  <c r="Q271" i="28"/>
  <c r="P271" i="28"/>
  <c r="O271" i="28"/>
  <c r="O275" i="28"/>
  <c r="P275" i="28"/>
  <c r="Q275" i="28"/>
  <c r="T211" i="28"/>
  <c r="S211" i="28"/>
  <c r="R211" i="28"/>
  <c r="T163" i="28"/>
  <c r="S163" i="28"/>
  <c r="R163" i="28"/>
  <c r="O166" i="28"/>
  <c r="O162" i="28" s="1"/>
  <c r="P166" i="28"/>
  <c r="Q166" i="28"/>
  <c r="O164" i="28"/>
  <c r="P164" i="28"/>
  <c r="Q164" i="28"/>
  <c r="Q163" i="28" s="1"/>
  <c r="O239" i="28"/>
  <c r="Q239" i="28"/>
  <c r="P239" i="28"/>
  <c r="Q243" i="28"/>
  <c r="P243" i="28"/>
  <c r="O243" i="28"/>
  <c r="Q235" i="28"/>
  <c r="P235" i="28"/>
  <c r="O235" i="28"/>
  <c r="Q231" i="28"/>
  <c r="P231" i="28"/>
  <c r="O231" i="28"/>
  <c r="Q227" i="28"/>
  <c r="P227" i="28"/>
  <c r="O227" i="28"/>
  <c r="Q223" i="28"/>
  <c r="P223" i="28"/>
  <c r="O223" i="28"/>
  <c r="N211" i="28"/>
  <c r="T63" i="28"/>
  <c r="S63" i="28"/>
  <c r="R63" i="28"/>
  <c r="P65" i="28"/>
  <c r="P63" i="28" s="1"/>
  <c r="Q65" i="28"/>
  <c r="Q63" i="28" s="1"/>
  <c r="O65" i="28"/>
  <c r="O63" i="28" s="1"/>
  <c r="R64" i="28" s="1"/>
  <c r="Q107" i="28"/>
  <c r="P107" i="28"/>
  <c r="O107" i="28"/>
  <c r="Q103" i="28"/>
  <c r="P103" i="28"/>
  <c r="O103" i="28"/>
  <c r="Q99" i="28"/>
  <c r="P99" i="28"/>
  <c r="O99" i="28"/>
  <c r="Q95" i="28"/>
  <c r="P95" i="28"/>
  <c r="O95" i="28"/>
  <c r="Q91" i="28"/>
  <c r="P91" i="28"/>
  <c r="O91" i="28"/>
  <c r="T111" i="28"/>
  <c r="S111" i="28"/>
  <c r="R111" i="28"/>
  <c r="R112" i="28" s="1"/>
  <c r="P113" i="28"/>
  <c r="P21" i="28" s="1"/>
  <c r="Q113" i="28"/>
  <c r="O113" i="28"/>
  <c r="O119" i="28"/>
  <c r="P119" i="28"/>
  <c r="Q119" i="28"/>
  <c r="P125" i="28"/>
  <c r="P123" i="28" s="1"/>
  <c r="Q125" i="28"/>
  <c r="Q123" i="28" s="1"/>
  <c r="O125" i="28"/>
  <c r="O123" i="28" s="1"/>
  <c r="R124" i="28" s="1"/>
  <c r="O139" i="28"/>
  <c r="P139" i="28"/>
  <c r="Q139" i="28"/>
  <c r="O143" i="28"/>
  <c r="P143" i="28"/>
  <c r="Q143" i="28"/>
  <c r="O147" i="28"/>
  <c r="P147" i="28"/>
  <c r="Q147" i="28"/>
  <c r="O151" i="28"/>
  <c r="P151" i="28"/>
  <c r="Q151" i="28"/>
  <c r="P112" i="28"/>
  <c r="P20" i="28" s="1"/>
  <c r="Q112" i="28"/>
  <c r="Q111" i="28" s="1"/>
  <c r="AB111" i="28" s="1"/>
  <c r="O112" i="28"/>
  <c r="O111" i="28" s="1"/>
  <c r="P83" i="28"/>
  <c r="Q83" i="28"/>
  <c r="O83" i="28"/>
  <c r="P29" i="28"/>
  <c r="Q29" i="28"/>
  <c r="Q25" i="28" s="1"/>
  <c r="O29" i="28"/>
  <c r="O27" i="28" s="1"/>
  <c r="R28" i="28" s="1"/>
  <c r="P59" i="28"/>
  <c r="Q59" i="28"/>
  <c r="O59" i="28"/>
  <c r="P55" i="28"/>
  <c r="Q55" i="28"/>
  <c r="O55" i="28"/>
  <c r="P51" i="28"/>
  <c r="Q51" i="28"/>
  <c r="P47" i="28"/>
  <c r="Q47" i="28"/>
  <c r="P35" i="28"/>
  <c r="Q35" i="28"/>
  <c r="O35" i="28"/>
  <c r="Q31" i="28"/>
  <c r="P31" i="28"/>
  <c r="O531" i="28"/>
  <c r="P531" i="28"/>
  <c r="Q531" i="28"/>
  <c r="O499" i="28"/>
  <c r="O475" i="28"/>
  <c r="P475" i="28"/>
  <c r="Q475" i="28"/>
  <c r="O463" i="28"/>
  <c r="P463" i="28"/>
  <c r="Q463" i="28"/>
  <c r="O323" i="28"/>
  <c r="P323" i="28"/>
  <c r="Q323" i="28"/>
  <c r="Q251" i="28"/>
  <c r="P251" i="28"/>
  <c r="O251" i="28"/>
  <c r="O315" i="28"/>
  <c r="P315" i="28"/>
  <c r="Q315" i="28"/>
  <c r="O319" i="28"/>
  <c r="P319" i="28"/>
  <c r="Q319" i="28"/>
  <c r="O327" i="28"/>
  <c r="P327" i="28"/>
  <c r="Q327" i="28"/>
  <c r="O331" i="28"/>
  <c r="P331" i="28"/>
  <c r="Q331" i="28"/>
  <c r="P335" i="28"/>
  <c r="Q335" i="28"/>
  <c r="O335" i="28"/>
  <c r="O339" i="28"/>
  <c r="P339" i="28"/>
  <c r="Q339" i="28"/>
  <c r="O299" i="28"/>
  <c r="P299" i="28"/>
  <c r="Q299" i="28"/>
  <c r="Q214" i="28" s="1"/>
  <c r="O303" i="28"/>
  <c r="P303" i="28"/>
  <c r="Q303" i="28"/>
  <c r="O307" i="28"/>
  <c r="P307" i="28"/>
  <c r="Q307" i="28"/>
  <c r="O311" i="28"/>
  <c r="P311" i="28"/>
  <c r="Q311" i="28"/>
  <c r="O267" i="28"/>
  <c r="P267" i="28"/>
  <c r="Q267" i="28"/>
  <c r="O283" i="28"/>
  <c r="P283" i="28"/>
  <c r="Q283" i="28"/>
  <c r="O287" i="28"/>
  <c r="P287" i="28"/>
  <c r="Q287" i="28"/>
  <c r="O291" i="28"/>
  <c r="P291" i="28"/>
  <c r="Q291" i="28"/>
  <c r="O295" i="28"/>
  <c r="P295" i="28"/>
  <c r="Q295" i="28"/>
  <c r="O255" i="28"/>
  <c r="P255" i="28"/>
  <c r="Q255" i="28"/>
  <c r="O259" i="28"/>
  <c r="P259" i="28"/>
  <c r="Q259" i="28"/>
  <c r="O263" i="28"/>
  <c r="P263" i="28"/>
  <c r="Q263" i="28"/>
  <c r="O411" i="28"/>
  <c r="O31" i="28"/>
  <c r="O47" i="28"/>
  <c r="O127" i="28"/>
  <c r="P499" i="28"/>
  <c r="Q499" i="28"/>
  <c r="P556" i="28"/>
  <c r="Q556" i="28"/>
  <c r="O556" i="28"/>
  <c r="P604" i="28"/>
  <c r="O698" i="28"/>
  <c r="O567" i="28"/>
  <c r="P455" i="28"/>
  <c r="Q455" i="28"/>
  <c r="O455" i="28"/>
  <c r="P87" i="28"/>
  <c r="Q87" i="28"/>
  <c r="O87" i="28"/>
  <c r="Q698" i="28"/>
  <c r="P698" i="28"/>
  <c r="Q694" i="28"/>
  <c r="P694" i="28"/>
  <c r="O694" i="28"/>
  <c r="Q692" i="28"/>
  <c r="Q690" i="28" s="1"/>
  <c r="P692" i="28"/>
  <c r="P690" i="28" s="1"/>
  <c r="L690" i="28"/>
  <c r="K690" i="28"/>
  <c r="I690" i="28"/>
  <c r="Q686" i="28"/>
  <c r="P686" i="28"/>
  <c r="O686" i="28"/>
  <c r="Q682" i="28"/>
  <c r="P682" i="28"/>
  <c r="O682" i="28"/>
  <c r="Q680" i="28"/>
  <c r="Q678" i="28" s="1"/>
  <c r="P680" i="28"/>
  <c r="O680" i="28"/>
  <c r="O678" i="28"/>
  <c r="L678" i="28"/>
  <c r="K678" i="28"/>
  <c r="I678" i="28"/>
  <c r="Q674" i="28"/>
  <c r="P674" i="28"/>
  <c r="O674" i="28"/>
  <c r="I666" i="28"/>
  <c r="I660" i="28" s="1"/>
  <c r="Q670" i="28"/>
  <c r="P670" i="28"/>
  <c r="O670" i="28"/>
  <c r="Q668" i="28"/>
  <c r="Q666" i="28" s="1"/>
  <c r="P668" i="28"/>
  <c r="P666" i="28" s="1"/>
  <c r="L666" i="28"/>
  <c r="L660" i="28" s="1"/>
  <c r="K666" i="28"/>
  <c r="K660" i="28" s="1"/>
  <c r="Q663" i="28"/>
  <c r="P663" i="28"/>
  <c r="O663" i="28"/>
  <c r="Q661" i="28"/>
  <c r="P661" i="28"/>
  <c r="O661" i="28"/>
  <c r="N660" i="28"/>
  <c r="Q656" i="28"/>
  <c r="P656" i="28"/>
  <c r="O656" i="28"/>
  <c r="Q628" i="28"/>
  <c r="P628" i="28"/>
  <c r="O628" i="28"/>
  <c r="Q624" i="28"/>
  <c r="P624" i="28"/>
  <c r="O624" i="28"/>
  <c r="Q620" i="28"/>
  <c r="P620" i="28"/>
  <c r="O620" i="28"/>
  <c r="Q616" i="28"/>
  <c r="P616" i="28"/>
  <c r="O616" i="28"/>
  <c r="Q612" i="28"/>
  <c r="P612" i="28"/>
  <c r="O612" i="28"/>
  <c r="Q608" i="28"/>
  <c r="P608" i="28"/>
  <c r="O608" i="28"/>
  <c r="Q604" i="28"/>
  <c r="O604" i="28"/>
  <c r="Q603" i="28"/>
  <c r="Q554" i="28" s="1"/>
  <c r="P603" i="28"/>
  <c r="P554" i="28" s="1"/>
  <c r="O603" i="28"/>
  <c r="O554" i="28" s="1"/>
  <c r="Q601" i="28"/>
  <c r="Q600" i="28" s="1"/>
  <c r="T602" i="28" s="1"/>
  <c r="P601" i="28"/>
  <c r="P552" i="28" s="1"/>
  <c r="O601" i="28"/>
  <c r="O600" i="28" s="1"/>
  <c r="R602" i="28" s="1"/>
  <c r="Q596" i="28"/>
  <c r="P596" i="28"/>
  <c r="O596" i="28"/>
  <c r="Q592" i="28"/>
  <c r="P592" i="28"/>
  <c r="O592" i="28"/>
  <c r="Q590" i="28"/>
  <c r="Q588" i="28" s="1"/>
  <c r="P590" i="28"/>
  <c r="P588" i="28" s="1"/>
  <c r="O590" i="28"/>
  <c r="O588" i="28" s="1"/>
  <c r="Q583" i="28"/>
  <c r="P583" i="28"/>
  <c r="O583" i="28"/>
  <c r="Q581" i="28"/>
  <c r="P581" i="28"/>
  <c r="O581" i="28"/>
  <c r="O579" i="28"/>
  <c r="Q575" i="28"/>
  <c r="P575" i="28"/>
  <c r="O575" i="28"/>
  <c r="Q571" i="28"/>
  <c r="P571" i="28"/>
  <c r="O571" i="28"/>
  <c r="Q567" i="28"/>
  <c r="P567" i="28"/>
  <c r="Q563" i="28"/>
  <c r="P563" i="28"/>
  <c r="O563" i="28"/>
  <c r="Q559" i="28"/>
  <c r="P559" i="28"/>
  <c r="O559" i="28"/>
  <c r="Q557" i="28"/>
  <c r="P557" i="28"/>
  <c r="P553" i="28" s="1"/>
  <c r="O547" i="28"/>
  <c r="Q547" i="28"/>
  <c r="P547" i="28"/>
  <c r="Q543" i="28"/>
  <c r="P543" i="28"/>
  <c r="O543" i="28"/>
  <c r="Q539" i="28"/>
  <c r="P539" i="28"/>
  <c r="O539" i="28"/>
  <c r="Q535" i="28"/>
  <c r="P535" i="28"/>
  <c r="O535" i="28"/>
  <c r="Q527" i="28"/>
  <c r="P527" i="28"/>
  <c r="O527" i="28"/>
  <c r="Q523" i="28"/>
  <c r="P523" i="28"/>
  <c r="O523" i="28"/>
  <c r="Q519" i="28"/>
  <c r="P519" i="28"/>
  <c r="O519" i="28"/>
  <c r="Q515" i="28"/>
  <c r="P515" i="28"/>
  <c r="O515" i="28"/>
  <c r="Q511" i="28"/>
  <c r="P511" i="28"/>
  <c r="O511" i="28"/>
  <c r="Q507" i="28"/>
  <c r="P507" i="28"/>
  <c r="O507" i="28"/>
  <c r="Q503" i="28"/>
  <c r="P503" i="28"/>
  <c r="O503" i="28"/>
  <c r="Q495" i="28"/>
  <c r="P495" i="28"/>
  <c r="O495" i="28"/>
  <c r="Q491" i="28"/>
  <c r="P491" i="28"/>
  <c r="O491" i="28"/>
  <c r="Q487" i="28"/>
  <c r="P487" i="28"/>
  <c r="O487" i="28"/>
  <c r="Q483" i="28"/>
  <c r="P483" i="28"/>
  <c r="O483" i="28"/>
  <c r="Q471" i="28"/>
  <c r="P471" i="28"/>
  <c r="O471" i="28"/>
  <c r="Q439" i="28"/>
  <c r="P439" i="28"/>
  <c r="Q454" i="28"/>
  <c r="P454" i="28"/>
  <c r="O454" i="28"/>
  <c r="Q452" i="28"/>
  <c r="Q451" i="28" s="1"/>
  <c r="P452" i="28"/>
  <c r="P364" i="28" s="1"/>
  <c r="O452" i="28"/>
  <c r="O364" i="28" s="1"/>
  <c r="Q423" i="28"/>
  <c r="P423" i="28"/>
  <c r="O423" i="28"/>
  <c r="Q419" i="28"/>
  <c r="P419" i="28"/>
  <c r="L415" i="28"/>
  <c r="K415" i="28"/>
  <c r="I415" i="28"/>
  <c r="Q411" i="28"/>
  <c r="P411" i="28"/>
  <c r="F411" i="28"/>
  <c r="L407" i="28"/>
  <c r="K407" i="28"/>
  <c r="I407" i="28"/>
  <c r="L403" i="28"/>
  <c r="K403" i="28"/>
  <c r="I403" i="28"/>
  <c r="L399" i="28"/>
  <c r="K399" i="28"/>
  <c r="L395" i="28"/>
  <c r="K395" i="28"/>
  <c r="I395" i="28"/>
  <c r="L391" i="28"/>
  <c r="K391" i="28"/>
  <c r="I391" i="28"/>
  <c r="L383" i="28"/>
  <c r="K383" i="28"/>
  <c r="L379" i="28"/>
  <c r="K379" i="28"/>
  <c r="L375" i="28"/>
  <c r="K375" i="28"/>
  <c r="I375" i="28"/>
  <c r="L371" i="28"/>
  <c r="K371" i="28"/>
  <c r="I371" i="28"/>
  <c r="Q359" i="28"/>
  <c r="P359" i="28"/>
  <c r="O359" i="28"/>
  <c r="Q355" i="28"/>
  <c r="P355" i="28"/>
  <c r="O355" i="28"/>
  <c r="Q351" i="28"/>
  <c r="P351" i="28"/>
  <c r="O351" i="28"/>
  <c r="Q347" i="28"/>
  <c r="P347" i="28"/>
  <c r="O347" i="28"/>
  <c r="Q343" i="28"/>
  <c r="P343" i="28"/>
  <c r="O343" i="28"/>
  <c r="N163" i="28"/>
  <c r="N159" i="28" s="1"/>
  <c r="Q155" i="28"/>
  <c r="P155" i="28"/>
  <c r="O155" i="28"/>
  <c r="Q135" i="28"/>
  <c r="P135" i="28"/>
  <c r="Q131" i="28"/>
  <c r="P131" i="28"/>
  <c r="O131" i="28"/>
  <c r="O126" i="28"/>
  <c r="O22" i="28" s="1"/>
  <c r="Q127" i="28"/>
  <c r="P127" i="28"/>
  <c r="Q126" i="28"/>
  <c r="Q22" i="28" s="1"/>
  <c r="P126" i="28"/>
  <c r="P22" i="28" s="1"/>
  <c r="N123" i="28"/>
  <c r="Q115" i="28"/>
  <c r="P115" i="28"/>
  <c r="O115" i="28"/>
  <c r="N111" i="28"/>
  <c r="Q79" i="28"/>
  <c r="P79" i="28"/>
  <c r="O79" i="28"/>
  <c r="Q75" i="28"/>
  <c r="P75" i="28"/>
  <c r="O75" i="28"/>
  <c r="N63" i="28"/>
  <c r="N43" i="28"/>
  <c r="N39" i="28"/>
  <c r="P66" i="27"/>
  <c r="P64" i="27" s="1"/>
  <c r="Q66" i="27"/>
  <c r="Q64" i="27" s="1"/>
  <c r="O66" i="27"/>
  <c r="O64" i="27" s="1"/>
  <c r="O661" i="27"/>
  <c r="R662" i="27" s="1"/>
  <c r="O695" i="27"/>
  <c r="P695" i="27"/>
  <c r="Q695" i="27"/>
  <c r="O606" i="27"/>
  <c r="P606" i="27"/>
  <c r="Q606" i="27"/>
  <c r="O505" i="27"/>
  <c r="P505" i="27"/>
  <c r="Q505" i="27"/>
  <c r="O458" i="27"/>
  <c r="O485" i="27"/>
  <c r="P485" i="27"/>
  <c r="Q485" i="27"/>
  <c r="P378" i="27"/>
  <c r="Q378" i="27"/>
  <c r="O378" i="27"/>
  <c r="O433" i="27"/>
  <c r="P433" i="27"/>
  <c r="Q433" i="27"/>
  <c r="O429" i="27"/>
  <c r="P429" i="27"/>
  <c r="Q429" i="27"/>
  <c r="I429" i="27"/>
  <c r="P419" i="27"/>
  <c r="Q419" i="27"/>
  <c r="O419" i="27"/>
  <c r="P415" i="27"/>
  <c r="Q415" i="27"/>
  <c r="O415" i="27"/>
  <c r="P411" i="27"/>
  <c r="Q411" i="27"/>
  <c r="O411" i="27"/>
  <c r="P407" i="27"/>
  <c r="Q407" i="27"/>
  <c r="O407" i="27"/>
  <c r="P403" i="27"/>
  <c r="Q403" i="27"/>
  <c r="O403" i="27"/>
  <c r="P397" i="27"/>
  <c r="Q397" i="27"/>
  <c r="O397" i="27"/>
  <c r="P395" i="27"/>
  <c r="Q395" i="27"/>
  <c r="O395" i="27"/>
  <c r="P391" i="27"/>
  <c r="Q391" i="27"/>
  <c r="O391" i="27"/>
  <c r="P387" i="27"/>
  <c r="Q387" i="27"/>
  <c r="O387" i="27"/>
  <c r="Q383" i="27"/>
  <c r="P383" i="27"/>
  <c r="O381" i="27"/>
  <c r="P20" i="27"/>
  <c r="Q20" i="27"/>
  <c r="O24" i="27"/>
  <c r="P24" i="27"/>
  <c r="Q24" i="27"/>
  <c r="O26" i="27"/>
  <c r="P26" i="27"/>
  <c r="Q26" i="27"/>
  <c r="N36" i="27"/>
  <c r="N24" i="27" s="1"/>
  <c r="N40" i="27"/>
  <c r="I64" i="27"/>
  <c r="N64" i="27"/>
  <c r="O84" i="27"/>
  <c r="P84" i="27"/>
  <c r="Q84" i="27"/>
  <c r="O88" i="27"/>
  <c r="P88" i="27"/>
  <c r="Q88" i="27"/>
  <c r="N100" i="27"/>
  <c r="O101" i="27"/>
  <c r="O102" i="27"/>
  <c r="P102" i="27"/>
  <c r="Q102" i="27"/>
  <c r="Q100" i="27" s="1"/>
  <c r="O104" i="27"/>
  <c r="P104" i="27"/>
  <c r="Q104" i="27"/>
  <c r="O108" i="27"/>
  <c r="P108" i="27"/>
  <c r="N112" i="27"/>
  <c r="P114" i="27"/>
  <c r="P112" i="27" s="1"/>
  <c r="Q114" i="27"/>
  <c r="Q110" i="27" s="1"/>
  <c r="Q108" i="27" s="1"/>
  <c r="P115" i="27"/>
  <c r="P111" i="27" s="1"/>
  <c r="Q115" i="27"/>
  <c r="Q111" i="27" s="1"/>
  <c r="P116" i="27"/>
  <c r="Q116" i="27"/>
  <c r="O119" i="27"/>
  <c r="O115" i="27" s="1"/>
  <c r="O120" i="27"/>
  <c r="P120" i="27"/>
  <c r="Q120" i="27"/>
  <c r="P124" i="27"/>
  <c r="Q124" i="27"/>
  <c r="O126" i="27"/>
  <c r="O114" i="27" s="1"/>
  <c r="O112" i="27" s="1"/>
  <c r="O128" i="27"/>
  <c r="P128" i="27"/>
  <c r="Q128" i="27"/>
  <c r="O134" i="27"/>
  <c r="O132" i="27" s="1"/>
  <c r="P134" i="27"/>
  <c r="P132" i="27" s="1"/>
  <c r="Q134" i="27"/>
  <c r="Q132" i="27" s="1"/>
  <c r="O135" i="27"/>
  <c r="P135" i="27"/>
  <c r="Q135" i="27"/>
  <c r="O136" i="27"/>
  <c r="P136" i="27"/>
  <c r="Q136" i="27"/>
  <c r="O140" i="27"/>
  <c r="P140" i="27"/>
  <c r="Q140" i="27"/>
  <c r="I145" i="27"/>
  <c r="K145" i="27"/>
  <c r="L145" i="27"/>
  <c r="I146" i="27"/>
  <c r="K146" i="27"/>
  <c r="L146" i="27"/>
  <c r="N150" i="27"/>
  <c r="N144" i="27" s="1"/>
  <c r="O151" i="27"/>
  <c r="O150" i="27" s="1"/>
  <c r="P151" i="27"/>
  <c r="Q151" i="27"/>
  <c r="Q150" i="27" s="1"/>
  <c r="O152" i="27"/>
  <c r="P152" i="27"/>
  <c r="Q152" i="27"/>
  <c r="O153" i="27"/>
  <c r="P153" i="27"/>
  <c r="Q153" i="27"/>
  <c r="O154" i="27"/>
  <c r="P154" i="27"/>
  <c r="Q154" i="27"/>
  <c r="I159" i="27"/>
  <c r="K159" i="27"/>
  <c r="L159" i="27"/>
  <c r="O159" i="27"/>
  <c r="P159" i="27"/>
  <c r="Q159" i="27"/>
  <c r="I163" i="27"/>
  <c r="K163" i="27"/>
  <c r="L163" i="27"/>
  <c r="O163" i="27"/>
  <c r="P163" i="27"/>
  <c r="Q163" i="27"/>
  <c r="I167" i="27"/>
  <c r="K167" i="27"/>
  <c r="L167" i="27"/>
  <c r="O167" i="27"/>
  <c r="P167" i="27"/>
  <c r="Q167" i="27"/>
  <c r="I171" i="27"/>
  <c r="K171" i="27"/>
  <c r="L171" i="27"/>
  <c r="O171" i="27"/>
  <c r="P171" i="27"/>
  <c r="Q171" i="27"/>
  <c r="I175" i="27"/>
  <c r="K175" i="27"/>
  <c r="L175" i="27"/>
  <c r="O175" i="27"/>
  <c r="P175" i="27"/>
  <c r="Q175" i="27"/>
  <c r="I180" i="27"/>
  <c r="K180" i="27"/>
  <c r="L180" i="27"/>
  <c r="O180" i="27"/>
  <c r="P180" i="27"/>
  <c r="Q180" i="27"/>
  <c r="O184" i="27"/>
  <c r="P184" i="27"/>
  <c r="Q184" i="27"/>
  <c r="I188" i="27"/>
  <c r="K188" i="27"/>
  <c r="L188" i="27"/>
  <c r="O188" i="27"/>
  <c r="P188" i="27"/>
  <c r="Q188" i="27"/>
  <c r="O192" i="27"/>
  <c r="P192" i="27"/>
  <c r="Q192" i="27"/>
  <c r="O196" i="27"/>
  <c r="P196" i="27"/>
  <c r="Q196" i="27"/>
  <c r="O201" i="27"/>
  <c r="P201" i="27"/>
  <c r="Q201" i="27"/>
  <c r="P202" i="27"/>
  <c r="Q202" i="27"/>
  <c r="O203" i="27"/>
  <c r="P203" i="27"/>
  <c r="Q203" i="27"/>
  <c r="O204" i="27"/>
  <c r="P204" i="27"/>
  <c r="Q204" i="27"/>
  <c r="O208" i="27"/>
  <c r="P208" i="27"/>
  <c r="Q208" i="27"/>
  <c r="O212" i="27"/>
  <c r="P212" i="27"/>
  <c r="Q212" i="27"/>
  <c r="O216" i="27"/>
  <c r="P216" i="27"/>
  <c r="Q216" i="27"/>
  <c r="O220" i="27"/>
  <c r="P220" i="27"/>
  <c r="Q220" i="27"/>
  <c r="O224" i="27"/>
  <c r="P224" i="27"/>
  <c r="Q224" i="27"/>
  <c r="O228" i="27"/>
  <c r="P228" i="27"/>
  <c r="Q228" i="27"/>
  <c r="O232" i="27"/>
  <c r="P232" i="27"/>
  <c r="Q232" i="27"/>
  <c r="S234" i="27"/>
  <c r="O236" i="27"/>
  <c r="P236" i="27"/>
  <c r="Q236" i="27"/>
  <c r="O240" i="27"/>
  <c r="P240" i="27"/>
  <c r="Q240" i="27"/>
  <c r="O244" i="27"/>
  <c r="P244" i="27"/>
  <c r="Q244" i="27"/>
  <c r="R246" i="27"/>
  <c r="O248" i="27"/>
  <c r="P248" i="27"/>
  <c r="Q248" i="27"/>
  <c r="O252" i="27"/>
  <c r="P252" i="27"/>
  <c r="Q252" i="27"/>
  <c r="O256" i="27"/>
  <c r="P256" i="27"/>
  <c r="Q256" i="27"/>
  <c r="O260" i="27"/>
  <c r="P260" i="27"/>
  <c r="Q260" i="27"/>
  <c r="O264" i="27"/>
  <c r="P264" i="27"/>
  <c r="Q264" i="27"/>
  <c r="O268" i="27"/>
  <c r="P268" i="27"/>
  <c r="Q268" i="27"/>
  <c r="O272" i="27"/>
  <c r="P272" i="27"/>
  <c r="Q272" i="27"/>
  <c r="O276" i="27"/>
  <c r="P276" i="27"/>
  <c r="Q276" i="27"/>
  <c r="R278" i="27"/>
  <c r="O280" i="27"/>
  <c r="P280" i="27"/>
  <c r="Q280" i="27"/>
  <c r="S282" i="27"/>
  <c r="P284" i="27"/>
  <c r="Q284" i="27"/>
  <c r="O286" i="27"/>
  <c r="P288" i="27"/>
  <c r="Q288" i="27"/>
  <c r="O290" i="27"/>
  <c r="O288" i="27" s="1"/>
  <c r="O292" i="27"/>
  <c r="P292" i="27"/>
  <c r="Q292" i="27"/>
  <c r="O296" i="27"/>
  <c r="P296" i="27"/>
  <c r="Q296" i="27"/>
  <c r="O300" i="27"/>
  <c r="P300" i="27"/>
  <c r="Q300" i="27"/>
  <c r="O304" i="27"/>
  <c r="P304" i="27"/>
  <c r="Q304" i="27"/>
  <c r="O308" i="27"/>
  <c r="P308" i="27"/>
  <c r="Q308" i="27"/>
  <c r="O312" i="27"/>
  <c r="P312" i="27"/>
  <c r="Q312" i="27"/>
  <c r="O316" i="27"/>
  <c r="P316" i="27"/>
  <c r="Q316" i="27"/>
  <c r="O320" i="27"/>
  <c r="P320" i="27"/>
  <c r="Q320" i="27"/>
  <c r="O324" i="27"/>
  <c r="P324" i="27"/>
  <c r="Q324" i="27"/>
  <c r="O328" i="27"/>
  <c r="P328" i="27"/>
  <c r="Q328" i="27"/>
  <c r="O333" i="27"/>
  <c r="P333" i="27"/>
  <c r="Q333" i="27"/>
  <c r="O334" i="27"/>
  <c r="P334" i="27"/>
  <c r="Q334" i="27"/>
  <c r="O335" i="27"/>
  <c r="P335" i="27"/>
  <c r="Q335" i="27"/>
  <c r="O336" i="27"/>
  <c r="P336" i="27"/>
  <c r="Q336" i="27"/>
  <c r="O340" i="27"/>
  <c r="P340" i="27"/>
  <c r="Q340" i="27"/>
  <c r="O344" i="27"/>
  <c r="P344" i="27"/>
  <c r="Q344" i="27"/>
  <c r="O348" i="27"/>
  <c r="P348" i="27"/>
  <c r="Q348" i="27"/>
  <c r="O352" i="27"/>
  <c r="P352" i="27"/>
  <c r="Q352" i="27"/>
  <c r="O356" i="27"/>
  <c r="P356" i="27"/>
  <c r="Q356" i="27"/>
  <c r="O360" i="27"/>
  <c r="P360" i="27"/>
  <c r="Q360" i="27"/>
  <c r="O364" i="27"/>
  <c r="P364" i="27"/>
  <c r="Q364" i="27"/>
  <c r="O368" i="27"/>
  <c r="P368" i="27"/>
  <c r="Q368" i="27"/>
  <c r="O380" i="27"/>
  <c r="P380" i="27"/>
  <c r="Q380" i="27"/>
  <c r="I381" i="27"/>
  <c r="K381" i="27"/>
  <c r="L381" i="27"/>
  <c r="I383" i="27"/>
  <c r="K383" i="27"/>
  <c r="L383" i="27"/>
  <c r="I385" i="27"/>
  <c r="K385" i="27"/>
  <c r="L385" i="27"/>
  <c r="I389" i="27"/>
  <c r="K389" i="27"/>
  <c r="L389" i="27"/>
  <c r="I393" i="27"/>
  <c r="K393" i="27"/>
  <c r="L393" i="27"/>
  <c r="I401" i="27"/>
  <c r="K401" i="27"/>
  <c r="L401" i="27"/>
  <c r="I405" i="27"/>
  <c r="K405" i="27"/>
  <c r="L405" i="27"/>
  <c r="I409" i="27"/>
  <c r="K409" i="27"/>
  <c r="L409" i="27"/>
  <c r="I413" i="27"/>
  <c r="K413" i="27"/>
  <c r="L413" i="27"/>
  <c r="I417" i="27"/>
  <c r="K417" i="27"/>
  <c r="L417" i="27"/>
  <c r="I419" i="27"/>
  <c r="K419" i="27"/>
  <c r="L419" i="27"/>
  <c r="F421" i="27"/>
  <c r="O421" i="27"/>
  <c r="P421" i="27"/>
  <c r="Q421" i="27"/>
  <c r="I425" i="27"/>
  <c r="K425" i="27"/>
  <c r="L425" i="27"/>
  <c r="O425" i="27"/>
  <c r="P425" i="27"/>
  <c r="Q425" i="27"/>
  <c r="O437" i="27"/>
  <c r="Q437" i="27"/>
  <c r="R437" i="27"/>
  <c r="S437" i="27"/>
  <c r="T437" i="27"/>
  <c r="P437" i="27"/>
  <c r="O442" i="27"/>
  <c r="P442" i="27"/>
  <c r="Q442" i="27"/>
  <c r="O443" i="27"/>
  <c r="P443" i="27"/>
  <c r="Q443" i="27"/>
  <c r="O444" i="27"/>
  <c r="P444" i="27"/>
  <c r="Q444" i="27"/>
  <c r="O445" i="27"/>
  <c r="O441" i="27" s="1"/>
  <c r="P445" i="27"/>
  <c r="P441" i="27" s="1"/>
  <c r="Q445" i="27"/>
  <c r="Q441" i="27"/>
  <c r="O450" i="27"/>
  <c r="P450" i="27"/>
  <c r="Q450" i="27"/>
  <c r="O451" i="27"/>
  <c r="P451" i="27"/>
  <c r="Q451" i="27"/>
  <c r="O452" i="27"/>
  <c r="P452" i="27"/>
  <c r="Q452" i="27"/>
  <c r="O453" i="27"/>
  <c r="O449" i="27" s="1"/>
  <c r="P453" i="27"/>
  <c r="P449" i="27" s="1"/>
  <c r="Q453" i="27"/>
  <c r="Q449" i="27" s="1"/>
  <c r="P458" i="27"/>
  <c r="Q458" i="27"/>
  <c r="P459" i="27"/>
  <c r="Q459" i="27"/>
  <c r="O460" i="27"/>
  <c r="P460" i="27"/>
  <c r="Q460" i="27"/>
  <c r="O461" i="27"/>
  <c r="P461" i="27"/>
  <c r="Q461" i="27"/>
  <c r="P465" i="27"/>
  <c r="Q465" i="27"/>
  <c r="O467" i="27"/>
  <c r="O469" i="27"/>
  <c r="P469" i="27"/>
  <c r="Q469" i="27"/>
  <c r="O473" i="27"/>
  <c r="P473" i="27"/>
  <c r="Q473" i="27"/>
  <c r="O477" i="27"/>
  <c r="P477" i="27"/>
  <c r="Q477" i="27"/>
  <c r="O481" i="27"/>
  <c r="P481" i="27"/>
  <c r="Q481" i="27"/>
  <c r="R483" i="27"/>
  <c r="O489" i="27"/>
  <c r="P489" i="27"/>
  <c r="Q489" i="27"/>
  <c r="O493" i="27"/>
  <c r="P493" i="27"/>
  <c r="Q493" i="27"/>
  <c r="O497" i="27"/>
  <c r="P497" i="27"/>
  <c r="Q497" i="27"/>
  <c r="O501" i="27"/>
  <c r="P501" i="27"/>
  <c r="Q501" i="27"/>
  <c r="O509" i="27"/>
  <c r="P509" i="27"/>
  <c r="Q509" i="27"/>
  <c r="O513" i="27"/>
  <c r="P513" i="27"/>
  <c r="Q513" i="27"/>
  <c r="O517" i="27"/>
  <c r="P517" i="27"/>
  <c r="Q517" i="27"/>
  <c r="O521" i="27"/>
  <c r="P521" i="27"/>
  <c r="Q521" i="27"/>
  <c r="O525" i="27"/>
  <c r="P525" i="27"/>
  <c r="Q525" i="27"/>
  <c r="P529" i="27"/>
  <c r="Q529" i="27"/>
  <c r="O531" i="27"/>
  <c r="O533" i="27"/>
  <c r="P533" i="27"/>
  <c r="Q533" i="27"/>
  <c r="O537" i="27"/>
  <c r="P537" i="27"/>
  <c r="Q537" i="27"/>
  <c r="O541" i="27"/>
  <c r="P541" i="27"/>
  <c r="Q541" i="27"/>
  <c r="O545" i="27"/>
  <c r="P545" i="27"/>
  <c r="Q545" i="27"/>
  <c r="O549" i="27"/>
  <c r="P549" i="27"/>
  <c r="Q549" i="27"/>
  <c r="O554" i="27"/>
  <c r="P554" i="27"/>
  <c r="Q554" i="27"/>
  <c r="O555" i="27"/>
  <c r="P555" i="27"/>
  <c r="Q555" i="27"/>
  <c r="O556" i="27"/>
  <c r="P556" i="27"/>
  <c r="Q556" i="27"/>
  <c r="O557" i="27"/>
  <c r="P557" i="27"/>
  <c r="Q557" i="27"/>
  <c r="O561" i="27"/>
  <c r="P561" i="27"/>
  <c r="Q561" i="27"/>
  <c r="O565" i="27"/>
  <c r="P565" i="27"/>
  <c r="Q565" i="27"/>
  <c r="O569" i="27"/>
  <c r="P569" i="27"/>
  <c r="Q569" i="27"/>
  <c r="O580" i="27"/>
  <c r="P580" i="27"/>
  <c r="P578" i="27" s="1"/>
  <c r="Q580" i="27"/>
  <c r="Q578" i="27" s="1"/>
  <c r="O582" i="27"/>
  <c r="P582" i="27"/>
  <c r="Q582" i="27"/>
  <c r="O586" i="27"/>
  <c r="P586" i="27"/>
  <c r="Q586" i="27"/>
  <c r="O590" i="27"/>
  <c r="P590" i="27"/>
  <c r="Q590" i="27"/>
  <c r="O594" i="27"/>
  <c r="P594" i="27"/>
  <c r="Q594" i="27"/>
  <c r="O598" i="27"/>
  <c r="P598" i="27"/>
  <c r="Q598" i="27"/>
  <c r="K602" i="27"/>
  <c r="L602" i="27"/>
  <c r="O604" i="27"/>
  <c r="P604" i="27"/>
  <c r="P602" i="27" s="1"/>
  <c r="Q604" i="27"/>
  <c r="O613" i="27"/>
  <c r="O611" i="27" s="1"/>
  <c r="P613" i="27"/>
  <c r="P611" i="27" s="1"/>
  <c r="Q613" i="27"/>
  <c r="Q611" i="27" s="1"/>
  <c r="O615" i="27"/>
  <c r="P615" i="27"/>
  <c r="Q615" i="27"/>
  <c r="O619" i="27"/>
  <c r="P619" i="27"/>
  <c r="Q619" i="27"/>
  <c r="O624" i="27"/>
  <c r="P624" i="27"/>
  <c r="Q624" i="27"/>
  <c r="O625" i="27"/>
  <c r="P625" i="27"/>
  <c r="Q625" i="27"/>
  <c r="O626" i="27"/>
  <c r="P626" i="27"/>
  <c r="Q626" i="27"/>
  <c r="O627" i="27"/>
  <c r="P627" i="27"/>
  <c r="Q627" i="27"/>
  <c r="O631" i="27"/>
  <c r="P631" i="27"/>
  <c r="Q631" i="27"/>
  <c r="O635" i="27"/>
  <c r="P635" i="27"/>
  <c r="Q635" i="27"/>
  <c r="O639" i="27"/>
  <c r="P639" i="27"/>
  <c r="Q639" i="27"/>
  <c r="O643" i="27"/>
  <c r="P643" i="27"/>
  <c r="Q643" i="27"/>
  <c r="O647" i="27"/>
  <c r="P647" i="27"/>
  <c r="Q647" i="27"/>
  <c r="O651" i="27"/>
  <c r="P651" i="27"/>
  <c r="Q651" i="27"/>
  <c r="Q623" i="27" s="1"/>
  <c r="O655" i="27"/>
  <c r="P655" i="27"/>
  <c r="Q655" i="27"/>
  <c r="O660" i="27"/>
  <c r="O574" i="27" s="1"/>
  <c r="P660" i="27"/>
  <c r="Q660" i="27"/>
  <c r="Q574" i="27" s="1"/>
  <c r="P661" i="27"/>
  <c r="Q661" i="27"/>
  <c r="P662" i="27"/>
  <c r="P576" i="27" s="1"/>
  <c r="Q662" i="27"/>
  <c r="Q576" i="27" s="1"/>
  <c r="O663" i="27"/>
  <c r="P663" i="27"/>
  <c r="Q663" i="27"/>
  <c r="O667" i="27"/>
  <c r="P667" i="27"/>
  <c r="Q667" i="27"/>
  <c r="O671" i="27"/>
  <c r="P671" i="27"/>
  <c r="Q671" i="27"/>
  <c r="O675" i="27"/>
  <c r="P675" i="27"/>
  <c r="Q675" i="27"/>
  <c r="O679" i="27"/>
  <c r="P679" i="27"/>
  <c r="Q679" i="27"/>
  <c r="O682" i="27"/>
  <c r="O662" i="27" s="1"/>
  <c r="O683" i="27"/>
  <c r="P683" i="27"/>
  <c r="Q683" i="27"/>
  <c r="O687" i="27"/>
  <c r="P687" i="27"/>
  <c r="Q687" i="27"/>
  <c r="O691" i="27"/>
  <c r="P691" i="27"/>
  <c r="Q691" i="27"/>
  <c r="O699" i="27"/>
  <c r="P699" i="27"/>
  <c r="Q699" i="27"/>
  <c r="N703" i="27"/>
  <c r="O704" i="27"/>
  <c r="P704" i="27"/>
  <c r="Q704" i="27"/>
  <c r="O706" i="27"/>
  <c r="P706" i="27"/>
  <c r="Q706" i="27"/>
  <c r="K709" i="27"/>
  <c r="L709" i="27"/>
  <c r="O711" i="27"/>
  <c r="O709" i="27" s="1"/>
  <c r="P711" i="27"/>
  <c r="P709" i="27" s="1"/>
  <c r="Q711" i="27"/>
  <c r="O713" i="27"/>
  <c r="P713" i="27"/>
  <c r="Q713" i="27"/>
  <c r="I717" i="27"/>
  <c r="I709" i="27" s="1"/>
  <c r="O717" i="27"/>
  <c r="P717" i="27"/>
  <c r="Q717" i="27"/>
  <c r="I721" i="27"/>
  <c r="K721" i="27"/>
  <c r="L721" i="27"/>
  <c r="O723" i="27"/>
  <c r="P723" i="27"/>
  <c r="P721" i="27" s="1"/>
  <c r="Q723" i="27"/>
  <c r="Q721" i="27" s="1"/>
  <c r="O725" i="27"/>
  <c r="P725" i="27"/>
  <c r="Q725" i="27"/>
  <c r="O729" i="27"/>
  <c r="P729" i="27"/>
  <c r="Q729" i="27"/>
  <c r="I733" i="27"/>
  <c r="K733" i="27"/>
  <c r="L733" i="27"/>
  <c r="O735" i="27"/>
  <c r="O733" i="27" s="1"/>
  <c r="P735" i="27"/>
  <c r="Q735" i="27"/>
  <c r="O737" i="27"/>
  <c r="P737" i="27"/>
  <c r="Q737" i="27"/>
  <c r="O741" i="27"/>
  <c r="P741" i="27"/>
  <c r="Q741" i="27"/>
  <c r="I746" i="27"/>
  <c r="N747" i="27"/>
  <c r="O20" i="26"/>
  <c r="P20" i="26"/>
  <c r="Q20" i="26"/>
  <c r="O24" i="26"/>
  <c r="P24" i="26"/>
  <c r="Q24" i="26"/>
  <c r="O26" i="26"/>
  <c r="P26" i="26"/>
  <c r="Q26" i="26"/>
  <c r="N36" i="26"/>
  <c r="N24" i="26"/>
  <c r="N40" i="26"/>
  <c r="I64" i="26"/>
  <c r="N64" i="26"/>
  <c r="O66" i="26"/>
  <c r="O64" i="26" s="1"/>
  <c r="P66" i="26"/>
  <c r="Q66" i="26"/>
  <c r="Q64" i="26" s="1"/>
  <c r="O84" i="26"/>
  <c r="P84" i="26"/>
  <c r="Q84" i="26"/>
  <c r="O88" i="26"/>
  <c r="P88" i="26"/>
  <c r="Q88" i="26"/>
  <c r="N92" i="26"/>
  <c r="O94" i="26"/>
  <c r="O92" i="26" s="1"/>
  <c r="P94" i="26"/>
  <c r="P92" i="26"/>
  <c r="Q94" i="26"/>
  <c r="Q92" i="26" s="1"/>
  <c r="O96" i="26"/>
  <c r="P96" i="26"/>
  <c r="Q96" i="26"/>
  <c r="N100" i="26"/>
  <c r="O102" i="26"/>
  <c r="O100" i="26" s="1"/>
  <c r="P102" i="26"/>
  <c r="Q102" i="26"/>
  <c r="Q100" i="26" s="1"/>
  <c r="O103" i="26"/>
  <c r="O22" i="26" s="1"/>
  <c r="P103" i="26"/>
  <c r="Q103" i="26"/>
  <c r="O104" i="26"/>
  <c r="P104" i="26"/>
  <c r="Q104" i="26"/>
  <c r="O108" i="26"/>
  <c r="P108" i="26"/>
  <c r="Q108" i="26"/>
  <c r="O112" i="26"/>
  <c r="P112" i="26"/>
  <c r="Q112" i="26"/>
  <c r="O116" i="26"/>
  <c r="P116" i="26"/>
  <c r="Q116" i="26"/>
  <c r="O122" i="26"/>
  <c r="O120" i="26" s="1"/>
  <c r="P122" i="26"/>
  <c r="P120" i="26" s="1"/>
  <c r="Q122" i="26"/>
  <c r="Q120" i="26" s="1"/>
  <c r="O123" i="26"/>
  <c r="P123" i="26"/>
  <c r="Q123" i="26"/>
  <c r="O124" i="26"/>
  <c r="P124" i="26"/>
  <c r="Q124" i="26"/>
  <c r="O128" i="26"/>
  <c r="P128" i="26"/>
  <c r="Q128" i="26"/>
  <c r="I133" i="26"/>
  <c r="K133" i="26"/>
  <c r="L133" i="26"/>
  <c r="I134" i="26"/>
  <c r="K134" i="26"/>
  <c r="L134" i="26"/>
  <c r="N138" i="26"/>
  <c r="N132" i="26" s="1"/>
  <c r="O139" i="26"/>
  <c r="P139" i="26"/>
  <c r="Q139" i="26"/>
  <c r="O140" i="26"/>
  <c r="P140" i="26"/>
  <c r="Q140" i="26"/>
  <c r="O141" i="26"/>
  <c r="P141" i="26"/>
  <c r="Q141" i="26"/>
  <c r="O142" i="26"/>
  <c r="P142" i="26"/>
  <c r="Q142" i="26"/>
  <c r="I147" i="26"/>
  <c r="K147" i="26"/>
  <c r="L147" i="26"/>
  <c r="O147" i="26"/>
  <c r="P147" i="26"/>
  <c r="Q147" i="26"/>
  <c r="I151" i="26"/>
  <c r="K151" i="26"/>
  <c r="L151" i="26"/>
  <c r="O151" i="26"/>
  <c r="P151" i="26"/>
  <c r="Q151" i="26"/>
  <c r="I155" i="26"/>
  <c r="K155" i="26"/>
  <c r="L155" i="26"/>
  <c r="O155" i="26"/>
  <c r="P155" i="26"/>
  <c r="Q155" i="26"/>
  <c r="I159" i="26"/>
  <c r="K159" i="26"/>
  <c r="L159" i="26"/>
  <c r="O159" i="26"/>
  <c r="P159" i="26"/>
  <c r="Q159" i="26"/>
  <c r="I163" i="26"/>
  <c r="K163" i="26"/>
  <c r="L163" i="26"/>
  <c r="O163" i="26"/>
  <c r="P163" i="26"/>
  <c r="Q163" i="26"/>
  <c r="I168" i="26"/>
  <c r="K168" i="26"/>
  <c r="L168" i="26"/>
  <c r="O168" i="26"/>
  <c r="P168" i="26"/>
  <c r="Q168" i="26"/>
  <c r="O172" i="26"/>
  <c r="P172" i="26"/>
  <c r="Q172" i="26"/>
  <c r="I176" i="26"/>
  <c r="K176" i="26"/>
  <c r="L176" i="26"/>
  <c r="O176" i="26"/>
  <c r="P176" i="26"/>
  <c r="Q176" i="26"/>
  <c r="O180" i="26"/>
  <c r="P180" i="26"/>
  <c r="Q180" i="26"/>
  <c r="O185" i="26"/>
  <c r="P185" i="26"/>
  <c r="Q185" i="26"/>
  <c r="P186" i="26"/>
  <c r="Q186" i="26"/>
  <c r="O187" i="26"/>
  <c r="P187" i="26"/>
  <c r="Q187" i="26"/>
  <c r="O188" i="26"/>
  <c r="P188" i="26"/>
  <c r="Q188" i="26"/>
  <c r="O192" i="26"/>
  <c r="P192" i="26"/>
  <c r="Q192" i="26"/>
  <c r="O196" i="26"/>
  <c r="P196" i="26"/>
  <c r="Q196" i="26"/>
  <c r="O200" i="26"/>
  <c r="P200" i="26"/>
  <c r="Q200" i="26"/>
  <c r="O204" i="26"/>
  <c r="P204" i="26"/>
  <c r="Q204" i="26"/>
  <c r="O208" i="26"/>
  <c r="P208" i="26"/>
  <c r="Q208" i="26"/>
  <c r="O212" i="26"/>
  <c r="P212" i="26"/>
  <c r="Q212" i="26"/>
  <c r="P216" i="26"/>
  <c r="Q216" i="26"/>
  <c r="O218" i="26"/>
  <c r="O216" i="26" s="1"/>
  <c r="O220" i="26"/>
  <c r="P220" i="26"/>
  <c r="Q220" i="26"/>
  <c r="O224" i="26"/>
  <c r="P224" i="26"/>
  <c r="Q224" i="26"/>
  <c r="O228" i="26"/>
  <c r="P228" i="26"/>
  <c r="Q228" i="26"/>
  <c r="O232" i="26"/>
  <c r="P232" i="26"/>
  <c r="Q232" i="26"/>
  <c r="O236" i="26"/>
  <c r="P236" i="26"/>
  <c r="Q236" i="26"/>
  <c r="O240" i="26"/>
  <c r="P240" i="26"/>
  <c r="Q240" i="26"/>
  <c r="O244" i="26"/>
  <c r="P244" i="26"/>
  <c r="Q244" i="26"/>
  <c r="O248" i="26"/>
  <c r="P248" i="26"/>
  <c r="Q248" i="26"/>
  <c r="O252" i="26"/>
  <c r="P252" i="26"/>
  <c r="Q252" i="26"/>
  <c r="P256" i="26"/>
  <c r="Q256" i="26"/>
  <c r="O258" i="26"/>
  <c r="P260" i="26"/>
  <c r="Q260" i="26"/>
  <c r="O262" i="26"/>
  <c r="O260" i="26" s="1"/>
  <c r="P264" i="26"/>
  <c r="Q264" i="26"/>
  <c r="O266" i="26"/>
  <c r="O268" i="26"/>
  <c r="P268" i="26"/>
  <c r="Q268" i="26"/>
  <c r="O272" i="26"/>
  <c r="P272" i="26"/>
  <c r="Q272" i="26"/>
  <c r="O276" i="26"/>
  <c r="P276" i="26"/>
  <c r="Q276" i="26"/>
  <c r="O280" i="26"/>
  <c r="P280" i="26"/>
  <c r="Q280" i="26"/>
  <c r="O284" i="26"/>
  <c r="P284" i="26"/>
  <c r="Q284" i="26"/>
  <c r="O288" i="26"/>
  <c r="P288" i="26"/>
  <c r="Q288" i="26"/>
  <c r="O292" i="26"/>
  <c r="P292" i="26"/>
  <c r="Q292" i="26"/>
  <c r="O296" i="26"/>
  <c r="P296" i="26"/>
  <c r="Q296" i="26"/>
  <c r="O300" i="26"/>
  <c r="P300" i="26"/>
  <c r="Q300" i="26"/>
  <c r="O304" i="26"/>
  <c r="P304" i="26"/>
  <c r="Q304" i="26"/>
  <c r="O309" i="26"/>
  <c r="P309" i="26"/>
  <c r="Q309" i="26"/>
  <c r="Q133" i="26" s="1"/>
  <c r="O310" i="26"/>
  <c r="P310" i="26"/>
  <c r="Q310" i="26"/>
  <c r="O311" i="26"/>
  <c r="P311" i="26"/>
  <c r="Q311" i="26"/>
  <c r="O312" i="26"/>
  <c r="P312" i="26"/>
  <c r="Q312" i="26"/>
  <c r="O316" i="26"/>
  <c r="P316" i="26"/>
  <c r="Q316" i="26"/>
  <c r="O320" i="26"/>
  <c r="P320" i="26"/>
  <c r="Q320" i="26"/>
  <c r="O324" i="26"/>
  <c r="P324" i="26"/>
  <c r="Q324" i="26"/>
  <c r="O328" i="26"/>
  <c r="P328" i="26"/>
  <c r="Q328" i="26"/>
  <c r="O332" i="26"/>
  <c r="P332" i="26"/>
  <c r="Q332" i="26"/>
  <c r="O336" i="26"/>
  <c r="P336" i="26"/>
  <c r="Q336" i="26"/>
  <c r="O340" i="26"/>
  <c r="P340" i="26"/>
  <c r="Q340" i="26"/>
  <c r="O344" i="26"/>
  <c r="P344" i="26"/>
  <c r="Q344" i="26"/>
  <c r="O354" i="26"/>
  <c r="P354" i="26"/>
  <c r="Q354" i="26"/>
  <c r="O356" i="26"/>
  <c r="P356" i="26"/>
  <c r="Q356" i="26"/>
  <c r="I357" i="26"/>
  <c r="K357" i="26"/>
  <c r="L357" i="26"/>
  <c r="O357" i="26"/>
  <c r="P357" i="26"/>
  <c r="Q357" i="26"/>
  <c r="I359" i="26"/>
  <c r="K359" i="26"/>
  <c r="L359" i="26"/>
  <c r="I361" i="26"/>
  <c r="K361" i="26"/>
  <c r="L361" i="26"/>
  <c r="O361" i="26"/>
  <c r="P361" i="26"/>
  <c r="Q361" i="26"/>
  <c r="I365" i="26"/>
  <c r="K365" i="26"/>
  <c r="L365" i="26"/>
  <c r="O365" i="26"/>
  <c r="P365" i="26"/>
  <c r="Q365" i="26"/>
  <c r="I369" i="26"/>
  <c r="K369" i="26"/>
  <c r="L369" i="26"/>
  <c r="O369" i="26"/>
  <c r="P369" i="26"/>
  <c r="Q369" i="26"/>
  <c r="O373" i="26"/>
  <c r="P373" i="26"/>
  <c r="Q373" i="26"/>
  <c r="I377" i="26"/>
  <c r="K377" i="26"/>
  <c r="L377" i="26"/>
  <c r="O377" i="26"/>
  <c r="P377" i="26"/>
  <c r="Q377" i="26"/>
  <c r="I381" i="26"/>
  <c r="K381" i="26"/>
  <c r="L381" i="26"/>
  <c r="O381" i="26"/>
  <c r="P381" i="26"/>
  <c r="Q381" i="26"/>
  <c r="I385" i="26"/>
  <c r="K385" i="26"/>
  <c r="L385" i="26"/>
  <c r="O385" i="26"/>
  <c r="P385" i="26"/>
  <c r="Q385" i="26"/>
  <c r="I389" i="26"/>
  <c r="K389" i="26"/>
  <c r="L389" i="26"/>
  <c r="O389" i="26"/>
  <c r="P389" i="26"/>
  <c r="Q389" i="26"/>
  <c r="I393" i="26"/>
  <c r="K393" i="26"/>
  <c r="L393" i="26"/>
  <c r="O393" i="26"/>
  <c r="P393" i="26"/>
  <c r="Q393" i="26"/>
  <c r="I395" i="26"/>
  <c r="K395" i="26"/>
  <c r="L395" i="26"/>
  <c r="F397" i="26"/>
  <c r="O397" i="26"/>
  <c r="P397" i="26"/>
  <c r="Q397" i="26"/>
  <c r="I401" i="26"/>
  <c r="K401" i="26"/>
  <c r="L401" i="26"/>
  <c r="O401" i="26"/>
  <c r="P401" i="26"/>
  <c r="Q401" i="26"/>
  <c r="R405" i="26"/>
  <c r="S405" i="26"/>
  <c r="T405" i="26"/>
  <c r="O407" i="26"/>
  <c r="P407" i="26"/>
  <c r="P355" i="26" s="1"/>
  <c r="Q407" i="26"/>
  <c r="O410" i="26"/>
  <c r="P410" i="26"/>
  <c r="Q410" i="26"/>
  <c r="O411" i="26"/>
  <c r="P411" i="26"/>
  <c r="Q411" i="26"/>
  <c r="O412" i="26"/>
  <c r="P412" i="26"/>
  <c r="Q412" i="26"/>
  <c r="O413" i="26"/>
  <c r="O409" i="26" s="1"/>
  <c r="P413" i="26"/>
  <c r="P409" i="26" s="1"/>
  <c r="Q413" i="26"/>
  <c r="Q409" i="26" s="1"/>
  <c r="O418" i="26"/>
  <c r="P418" i="26"/>
  <c r="Q418" i="26"/>
  <c r="O419" i="26"/>
  <c r="P419" i="26"/>
  <c r="Q419" i="26"/>
  <c r="O420" i="26"/>
  <c r="P420" i="26"/>
  <c r="Q420" i="26"/>
  <c r="O421" i="26"/>
  <c r="O417" i="26" s="1"/>
  <c r="P421" i="26"/>
  <c r="P417" i="26" s="1"/>
  <c r="Q421" i="26"/>
  <c r="Q417" i="26" s="1"/>
  <c r="O426" i="26"/>
  <c r="P426" i="26"/>
  <c r="Q426" i="26"/>
  <c r="P427" i="26"/>
  <c r="Q427" i="26"/>
  <c r="O428" i="26"/>
  <c r="P428" i="26"/>
  <c r="Q428" i="26"/>
  <c r="O429" i="26"/>
  <c r="P429" i="26"/>
  <c r="Q429" i="26"/>
  <c r="P433" i="26"/>
  <c r="Q433" i="26"/>
  <c r="O435" i="26"/>
  <c r="O433" i="26" s="1"/>
  <c r="O437" i="26"/>
  <c r="P437" i="26"/>
  <c r="Q437" i="26"/>
  <c r="O441" i="26"/>
  <c r="P441" i="26"/>
  <c r="Q441" i="26"/>
  <c r="O445" i="26"/>
  <c r="P445" i="26"/>
  <c r="Q445" i="26"/>
  <c r="O449" i="26"/>
  <c r="P449" i="26"/>
  <c r="Q449" i="26"/>
  <c r="O453" i="26"/>
  <c r="P453" i="26"/>
  <c r="Q453" i="26"/>
  <c r="O457" i="26"/>
  <c r="P457" i="26"/>
  <c r="Q457" i="26"/>
  <c r="O461" i="26"/>
  <c r="P461" i="26"/>
  <c r="Q461" i="26"/>
  <c r="O465" i="26"/>
  <c r="P465" i="26"/>
  <c r="Q465" i="26"/>
  <c r="O469" i="26"/>
  <c r="P469" i="26"/>
  <c r="Q469" i="26"/>
  <c r="O473" i="26"/>
  <c r="P473" i="26"/>
  <c r="Q473" i="26"/>
  <c r="O477" i="26"/>
  <c r="P477" i="26"/>
  <c r="Q477" i="26"/>
  <c r="O481" i="26"/>
  <c r="P481" i="26"/>
  <c r="Q481" i="26"/>
  <c r="O485" i="26"/>
  <c r="P485" i="26"/>
  <c r="Q485" i="26"/>
  <c r="P489" i="26"/>
  <c r="Q489" i="26"/>
  <c r="O491" i="26"/>
  <c r="S491" i="26" s="1"/>
  <c r="O493" i="26"/>
  <c r="P493" i="26"/>
  <c r="Q493" i="26"/>
  <c r="O497" i="26"/>
  <c r="P497" i="26"/>
  <c r="Q497" i="26"/>
  <c r="O501" i="26"/>
  <c r="P501" i="26"/>
  <c r="Q501" i="26"/>
  <c r="O505" i="26"/>
  <c r="P505" i="26"/>
  <c r="Q505" i="26"/>
  <c r="O509" i="26"/>
  <c r="P509" i="26"/>
  <c r="Q509" i="26"/>
  <c r="O514" i="26"/>
  <c r="P514" i="26"/>
  <c r="P349" i="26" s="1"/>
  <c r="Q514" i="26"/>
  <c r="O515" i="26"/>
  <c r="P515" i="26"/>
  <c r="Q515" i="26"/>
  <c r="O516" i="26"/>
  <c r="P516" i="26"/>
  <c r="Q516" i="26"/>
  <c r="O517" i="26"/>
  <c r="P517" i="26"/>
  <c r="Q517" i="26"/>
  <c r="O521" i="26"/>
  <c r="P521" i="26"/>
  <c r="Q521" i="26"/>
  <c r="O525" i="26"/>
  <c r="P525" i="26"/>
  <c r="Q525" i="26"/>
  <c r="O529" i="26"/>
  <c r="P529" i="26"/>
  <c r="Q529" i="26"/>
  <c r="O540" i="26"/>
  <c r="P540" i="26"/>
  <c r="P538" i="26" s="1"/>
  <c r="Q540" i="26"/>
  <c r="O542" i="26"/>
  <c r="P542" i="26"/>
  <c r="Q542" i="26"/>
  <c r="O546" i="26"/>
  <c r="P546" i="26"/>
  <c r="Q546" i="26"/>
  <c r="O550" i="26"/>
  <c r="P550" i="26"/>
  <c r="Q550" i="26"/>
  <c r="O554" i="26"/>
  <c r="P554" i="26"/>
  <c r="Q554" i="26"/>
  <c r="O558" i="26"/>
  <c r="P558" i="26"/>
  <c r="Q558" i="26"/>
  <c r="K562" i="26"/>
  <c r="L562" i="26"/>
  <c r="O564" i="26"/>
  <c r="O562" i="26" s="1"/>
  <c r="P564" i="26"/>
  <c r="P562" i="26" s="1"/>
  <c r="Q564" i="26"/>
  <c r="Q562" i="26" s="1"/>
  <c r="O566" i="26"/>
  <c r="P566" i="26"/>
  <c r="Q566" i="26"/>
  <c r="O573" i="26"/>
  <c r="P573" i="26"/>
  <c r="Q573" i="26"/>
  <c r="Q571" i="26" s="1"/>
  <c r="O575" i="26"/>
  <c r="P575" i="26"/>
  <c r="Q575" i="26"/>
  <c r="O579" i="26"/>
  <c r="P579" i="26"/>
  <c r="Q579" i="26"/>
  <c r="O584" i="26"/>
  <c r="P584" i="26"/>
  <c r="Q584" i="26"/>
  <c r="O585" i="26"/>
  <c r="P585" i="26"/>
  <c r="Q585" i="26"/>
  <c r="O586" i="26"/>
  <c r="P586" i="26"/>
  <c r="Q586" i="26"/>
  <c r="O587" i="26"/>
  <c r="P587" i="26"/>
  <c r="Q587" i="26"/>
  <c r="O591" i="26"/>
  <c r="P591" i="26"/>
  <c r="Q591" i="26"/>
  <c r="O595" i="26"/>
  <c r="P595" i="26"/>
  <c r="Q595" i="26"/>
  <c r="O599" i="26"/>
  <c r="P599" i="26"/>
  <c r="Q599" i="26"/>
  <c r="O603" i="26"/>
  <c r="P603" i="26"/>
  <c r="Q603" i="26"/>
  <c r="O607" i="26"/>
  <c r="P607" i="26"/>
  <c r="P583" i="26" s="1"/>
  <c r="Q607" i="26"/>
  <c r="O611" i="26"/>
  <c r="P611" i="26"/>
  <c r="Q611" i="26"/>
  <c r="O615" i="26"/>
  <c r="P615" i="26"/>
  <c r="Q615" i="26"/>
  <c r="O620" i="26"/>
  <c r="O534" i="26" s="1"/>
  <c r="P620" i="26"/>
  <c r="Q620" i="26"/>
  <c r="Q534" i="26" s="1"/>
  <c r="O621" i="26"/>
  <c r="P621" i="26"/>
  <c r="Q621" i="26"/>
  <c r="P622" i="26"/>
  <c r="Q622" i="26"/>
  <c r="O623" i="26"/>
  <c r="P623" i="26"/>
  <c r="Q623" i="26"/>
  <c r="O627" i="26"/>
  <c r="P627" i="26"/>
  <c r="Q627" i="26"/>
  <c r="O631" i="26"/>
  <c r="P631" i="26"/>
  <c r="Q631" i="26"/>
  <c r="O635" i="26"/>
  <c r="P635" i="26"/>
  <c r="Q635" i="26"/>
  <c r="O639" i="26"/>
  <c r="P639" i="26"/>
  <c r="Q639" i="26"/>
  <c r="O642" i="26"/>
  <c r="O622" i="26" s="1"/>
  <c r="O643" i="26"/>
  <c r="P643" i="26"/>
  <c r="Q643" i="26"/>
  <c r="O647" i="26"/>
  <c r="P647" i="26"/>
  <c r="Q647" i="26"/>
  <c r="O651" i="26"/>
  <c r="P651" i="26"/>
  <c r="Q651" i="26"/>
  <c r="O655" i="26"/>
  <c r="P655" i="26"/>
  <c r="Q655" i="26"/>
  <c r="N659" i="26"/>
  <c r="N705" i="26" s="1"/>
  <c r="N707" i="26" s="1"/>
  <c r="O660" i="26"/>
  <c r="P660" i="26"/>
  <c r="Q660" i="26"/>
  <c r="O662" i="26"/>
  <c r="P662" i="26"/>
  <c r="Q662" i="26"/>
  <c r="K665" i="26"/>
  <c r="L665" i="26"/>
  <c r="O667" i="26"/>
  <c r="O665" i="26" s="1"/>
  <c r="P667" i="26"/>
  <c r="P665" i="26" s="1"/>
  <c r="Q667" i="26"/>
  <c r="Q665" i="26" s="1"/>
  <c r="O669" i="26"/>
  <c r="P669" i="26"/>
  <c r="Q669" i="26"/>
  <c r="I673" i="26"/>
  <c r="I665" i="26" s="1"/>
  <c r="O673" i="26"/>
  <c r="P673" i="26"/>
  <c r="Q673" i="26"/>
  <c r="I677" i="26"/>
  <c r="K677" i="26"/>
  <c r="L677" i="26"/>
  <c r="O679" i="26"/>
  <c r="O677" i="26" s="1"/>
  <c r="P679" i="26"/>
  <c r="P677" i="26" s="1"/>
  <c r="Q679" i="26"/>
  <c r="O681" i="26"/>
  <c r="P681" i="26"/>
  <c r="Q681" i="26"/>
  <c r="O685" i="26"/>
  <c r="P685" i="26"/>
  <c r="Q685" i="26"/>
  <c r="I689" i="26"/>
  <c r="K689" i="26"/>
  <c r="L689" i="26"/>
  <c r="O691" i="26"/>
  <c r="O689" i="26" s="1"/>
  <c r="P691" i="26"/>
  <c r="P689" i="26" s="1"/>
  <c r="Q691" i="26"/>
  <c r="Q689" i="26" s="1"/>
  <c r="O693" i="26"/>
  <c r="P693" i="26"/>
  <c r="Q693" i="26"/>
  <c r="O697" i="26"/>
  <c r="P697" i="26"/>
  <c r="Q697" i="26"/>
  <c r="I702" i="26"/>
  <c r="N703" i="26"/>
  <c r="N701" i="26" s="1"/>
  <c r="L20" i="21"/>
  <c r="L21" i="21"/>
  <c r="M22" i="21"/>
  <c r="L22" i="21" s="1"/>
  <c r="M23" i="21"/>
  <c r="L24" i="21"/>
  <c r="L25" i="21"/>
  <c r="L26" i="21"/>
  <c r="L27" i="21"/>
  <c r="L28" i="21"/>
  <c r="L29" i="21"/>
  <c r="I30" i="21"/>
  <c r="M30" i="21"/>
  <c r="L31" i="21"/>
  <c r="L32" i="21"/>
  <c r="L33" i="21"/>
  <c r="L34" i="21"/>
  <c r="L35" i="21"/>
  <c r="M36" i="21"/>
  <c r="N36" i="21"/>
  <c r="O36" i="21"/>
  <c r="O14" i="21" s="1"/>
  <c r="P36" i="21"/>
  <c r="K37" i="21"/>
  <c r="L37" i="21"/>
  <c r="Q38" i="21"/>
  <c r="M39" i="21"/>
  <c r="Q70" i="21" s="1"/>
  <c r="M42" i="21"/>
  <c r="R70" i="21" s="1"/>
  <c r="N42" i="21"/>
  <c r="N14" i="21" s="1"/>
  <c r="O42" i="21"/>
  <c r="P42" i="21"/>
  <c r="P14" i="21" s="1"/>
  <c r="M45" i="21"/>
  <c r="N45" i="21"/>
  <c r="O45" i="21"/>
  <c r="P45" i="21"/>
  <c r="I46" i="21"/>
  <c r="I47" i="21"/>
  <c r="L51" i="21"/>
  <c r="Q51" i="21"/>
  <c r="R51" i="21"/>
  <c r="L52" i="21"/>
  <c r="F55" i="21"/>
  <c r="L55" i="21"/>
  <c r="F57" i="21"/>
  <c r="L57" i="21"/>
  <c r="F59" i="21"/>
  <c r="F60" i="21"/>
  <c r="F61" i="21"/>
  <c r="I61" i="21"/>
  <c r="F62" i="21"/>
  <c r="F63" i="21"/>
  <c r="F64" i="21"/>
  <c r="F66" i="21"/>
  <c r="F67" i="21"/>
  <c r="F68" i="21" s="1"/>
  <c r="M68" i="21"/>
  <c r="L69" i="21"/>
  <c r="Q69" i="21"/>
  <c r="L70" i="21"/>
  <c r="L72" i="21"/>
  <c r="L73" i="21"/>
  <c r="L74" i="21"/>
  <c r="L75" i="21"/>
  <c r="L76" i="21"/>
  <c r="L78" i="21"/>
  <c r="L79" i="21"/>
  <c r="L80" i="21"/>
  <c r="L81" i="21"/>
  <c r="L84" i="21"/>
  <c r="L86" i="21"/>
  <c r="M87" i="21"/>
  <c r="M89" i="21"/>
  <c r="L94" i="21"/>
  <c r="L95" i="21"/>
  <c r="L96" i="21"/>
  <c r="L97" i="21"/>
  <c r="L98" i="21"/>
  <c r="Q98" i="21"/>
  <c r="L99" i="21"/>
  <c r="L101" i="21"/>
  <c r="L108" i="21"/>
  <c r="L109" i="21"/>
  <c r="L110" i="21"/>
  <c r="I112" i="21"/>
  <c r="F122" i="21"/>
  <c r="F123" i="21"/>
  <c r="L124" i="21"/>
  <c r="L125" i="21"/>
  <c r="M130" i="21"/>
  <c r="L131" i="21"/>
  <c r="M131" i="21"/>
  <c r="N131" i="21"/>
  <c r="O131" i="21"/>
  <c r="P131" i="21"/>
  <c r="P111" i="21" s="1"/>
  <c r="L134" i="21"/>
  <c r="M134" i="21"/>
  <c r="M111" i="21" s="1"/>
  <c r="N134" i="21"/>
  <c r="O134" i="21"/>
  <c r="O111" i="21" s="1"/>
  <c r="M138" i="21"/>
  <c r="L138" i="21" s="1"/>
  <c r="M139" i="21"/>
  <c r="L139" i="21" s="1"/>
  <c r="L140" i="21"/>
  <c r="L141" i="21"/>
  <c r="L142" i="21"/>
  <c r="L143" i="21"/>
  <c r="L144" i="21"/>
  <c r="L145" i="21"/>
  <c r="L146" i="21"/>
  <c r="L147" i="21"/>
  <c r="L148" i="21"/>
  <c r="M150" i="21"/>
  <c r="L152" i="21"/>
  <c r="M153" i="21"/>
  <c r="L153" i="21" s="1"/>
  <c r="M154" i="21"/>
  <c r="L155" i="21"/>
  <c r="L156" i="21"/>
  <c r="N157" i="21"/>
  <c r="M158" i="21"/>
  <c r="L158" i="21" s="1"/>
  <c r="L159" i="21"/>
  <c r="L160" i="21"/>
  <c r="L162" i="21"/>
  <c r="M168" i="21"/>
  <c r="N168" i="21"/>
  <c r="O168" i="21"/>
  <c r="L174" i="21"/>
  <c r="L181" i="21"/>
  <c r="L182" i="21"/>
  <c r="L190" i="21"/>
  <c r="M218" i="21"/>
  <c r="N218" i="21"/>
  <c r="O218" i="21"/>
  <c r="P218" i="21"/>
  <c r="L219" i="21"/>
  <c r="M224" i="21"/>
  <c r="L224" i="21" s="1"/>
  <c r="N224" i="21"/>
  <c r="O224" i="21"/>
  <c r="P224" i="21"/>
  <c r="O227" i="21"/>
  <c r="L227" i="21" s="1"/>
  <c r="L228" i="21"/>
  <c r="M229" i="21"/>
  <c r="L229" i="21" s="1"/>
  <c r="L230" i="21"/>
  <c r="L231" i="21"/>
  <c r="L232" i="21"/>
  <c r="L233" i="21"/>
  <c r="L234" i="21"/>
  <c r="O236" i="21"/>
  <c r="P236" i="21"/>
  <c r="M237" i="21"/>
  <c r="L237" i="21"/>
  <c r="L238" i="21"/>
  <c r="L239" i="21"/>
  <c r="L240" i="21"/>
  <c r="L241" i="21"/>
  <c r="M242" i="21"/>
  <c r="M243" i="21"/>
  <c r="N247" i="21"/>
  <c r="N249" i="21"/>
  <c r="O249" i="21"/>
  <c r="M250" i="21"/>
  <c r="M249" i="21" s="1"/>
  <c r="I257" i="21"/>
  <c r="N257" i="21"/>
  <c r="L257" i="21" s="1"/>
  <c r="O257" i="21"/>
  <c r="P257" i="21"/>
  <c r="L258" i="21"/>
  <c r="M259" i="21"/>
  <c r="L259" i="21" s="1"/>
  <c r="I260" i="21"/>
  <c r="M260" i="21"/>
  <c r="N260" i="21"/>
  <c r="O260" i="21"/>
  <c r="P260" i="21"/>
  <c r="L261" i="21"/>
  <c r="L262" i="21"/>
  <c r="I263" i="21"/>
  <c r="M263" i="21"/>
  <c r="N263" i="21"/>
  <c r="O263" i="21"/>
  <c r="P263" i="21"/>
  <c r="L264" i="21"/>
  <c r="L265" i="21"/>
  <c r="I267" i="21"/>
  <c r="M268" i="21"/>
  <c r="M267" i="21" s="1"/>
  <c r="O19" i="20"/>
  <c r="P19" i="20"/>
  <c r="Q19" i="20"/>
  <c r="M20" i="20"/>
  <c r="M21" i="20"/>
  <c r="N22" i="20"/>
  <c r="N19" i="20" s="1"/>
  <c r="N23" i="20"/>
  <c r="M23" i="20" s="1"/>
  <c r="M24" i="20"/>
  <c r="M25" i="20"/>
  <c r="M26" i="20"/>
  <c r="M27" i="20"/>
  <c r="M28" i="20"/>
  <c r="J29" i="20"/>
  <c r="N29" i="20"/>
  <c r="O29" i="20"/>
  <c r="P29" i="20"/>
  <c r="Q29" i="20"/>
  <c r="M30" i="20"/>
  <c r="M29" i="20" s="1"/>
  <c r="M31" i="20"/>
  <c r="M32" i="20"/>
  <c r="M33" i="20"/>
  <c r="M34" i="20"/>
  <c r="N35" i="20"/>
  <c r="U35" i="20" s="1"/>
  <c r="O35" i="20"/>
  <c r="P35" i="20"/>
  <c r="Q35" i="20"/>
  <c r="L36" i="20"/>
  <c r="M36" i="20"/>
  <c r="S36" i="20"/>
  <c r="R37" i="20"/>
  <c r="S37" i="20"/>
  <c r="N38" i="20"/>
  <c r="M38" i="20" s="1"/>
  <c r="R38" i="20"/>
  <c r="S38" i="20"/>
  <c r="R39" i="20"/>
  <c r="S39" i="20"/>
  <c r="R40" i="20"/>
  <c r="S40" i="20"/>
  <c r="N41" i="20"/>
  <c r="O41" i="20"/>
  <c r="P41" i="20"/>
  <c r="Q41" i="20"/>
  <c r="R41" i="20"/>
  <c r="S41" i="20"/>
  <c r="R42" i="20"/>
  <c r="S42" i="20"/>
  <c r="R43" i="20"/>
  <c r="S43" i="20"/>
  <c r="Q44" i="20"/>
  <c r="R44" i="20"/>
  <c r="S44" i="20"/>
  <c r="J45" i="20"/>
  <c r="S45" i="20" s="1"/>
  <c r="R45" i="20"/>
  <c r="J46" i="20"/>
  <c r="S46" i="20" s="1"/>
  <c r="R46" i="20"/>
  <c r="R47" i="20"/>
  <c r="S47" i="20"/>
  <c r="R48" i="20"/>
  <c r="S48" i="20"/>
  <c r="R49" i="20"/>
  <c r="S49" i="20"/>
  <c r="R50" i="20"/>
  <c r="S50" i="20"/>
  <c r="M51" i="20"/>
  <c r="R51" i="20"/>
  <c r="S51" i="20"/>
  <c r="U51" i="20"/>
  <c r="V51" i="20"/>
  <c r="W51" i="20"/>
  <c r="R52" i="20"/>
  <c r="S52" i="20"/>
  <c r="R53" i="20"/>
  <c r="S53" i="20"/>
  <c r="R54" i="20"/>
  <c r="S54" i="20"/>
  <c r="R55" i="20"/>
  <c r="S55" i="20"/>
  <c r="R56" i="20"/>
  <c r="S56" i="20"/>
  <c r="M57" i="20"/>
  <c r="R57" i="20"/>
  <c r="S57" i="20"/>
  <c r="R58" i="20"/>
  <c r="S58" i="20"/>
  <c r="M59" i="20"/>
  <c r="R59" i="20"/>
  <c r="S59" i="20"/>
  <c r="R60" i="20"/>
  <c r="S60" i="20"/>
  <c r="R61" i="20"/>
  <c r="S61" i="20"/>
  <c r="R62" i="20"/>
  <c r="S62" i="20"/>
  <c r="R63" i="20"/>
  <c r="S63" i="20"/>
  <c r="R64" i="20"/>
  <c r="S64" i="20"/>
  <c r="R65" i="20"/>
  <c r="S65" i="20"/>
  <c r="R66" i="20"/>
  <c r="S66" i="20"/>
  <c r="R67" i="20"/>
  <c r="S67" i="20"/>
  <c r="R68" i="20"/>
  <c r="S68" i="20"/>
  <c r="R69" i="20"/>
  <c r="S69" i="20"/>
  <c r="R70" i="20"/>
  <c r="S70" i="20"/>
  <c r="R71" i="20"/>
  <c r="S71" i="20"/>
  <c r="R72" i="20"/>
  <c r="S72" i="20"/>
  <c r="R73" i="20"/>
  <c r="S73" i="20"/>
  <c r="R74" i="20"/>
  <c r="S74" i="20"/>
  <c r="G75" i="20"/>
  <c r="R75" i="20" s="1"/>
  <c r="N75" i="20"/>
  <c r="N50" i="20"/>
  <c r="N44" i="20" s="1"/>
  <c r="O75" i="20"/>
  <c r="O50" i="20" s="1"/>
  <c r="P75" i="20"/>
  <c r="P50" i="20" s="1"/>
  <c r="P44" i="20" s="1"/>
  <c r="S75" i="20"/>
  <c r="O76" i="20"/>
  <c r="M76" i="20" s="1"/>
  <c r="P76" i="20"/>
  <c r="R76" i="20"/>
  <c r="S76" i="20"/>
  <c r="V76" i="20"/>
  <c r="M77" i="20"/>
  <c r="R77" i="20"/>
  <c r="S77" i="20"/>
  <c r="U77" i="20"/>
  <c r="R78" i="20"/>
  <c r="S78" i="20"/>
  <c r="M79" i="20"/>
  <c r="R79" i="20"/>
  <c r="S79" i="20"/>
  <c r="M80" i="20"/>
  <c r="R80" i="20"/>
  <c r="S80" i="20"/>
  <c r="M81" i="20"/>
  <c r="R81" i="20"/>
  <c r="S81" i="20"/>
  <c r="M82" i="20"/>
  <c r="R82" i="20"/>
  <c r="S82" i="20"/>
  <c r="M83" i="20"/>
  <c r="R83" i="20"/>
  <c r="S83" i="20"/>
  <c r="M84" i="20"/>
  <c r="R84" i="20"/>
  <c r="S84" i="20"/>
  <c r="M85" i="20"/>
  <c r="R85" i="20"/>
  <c r="S85" i="20"/>
  <c r="M86" i="20"/>
  <c r="R86" i="20"/>
  <c r="S86" i="20"/>
  <c r="M87" i="20"/>
  <c r="R87" i="20"/>
  <c r="S87" i="20"/>
  <c r="M88" i="20"/>
  <c r="R88" i="20"/>
  <c r="S88" i="20"/>
  <c r="R89" i="20"/>
  <c r="S89" i="20"/>
  <c r="R90" i="20"/>
  <c r="S90" i="20"/>
  <c r="M91" i="20"/>
  <c r="R91" i="20"/>
  <c r="S91" i="20"/>
  <c r="R92" i="20"/>
  <c r="S92" i="20"/>
  <c r="M93" i="20"/>
  <c r="R93" i="20"/>
  <c r="S93" i="20"/>
  <c r="N94" i="20"/>
  <c r="R94" i="20"/>
  <c r="S94" i="20"/>
  <c r="R95" i="20"/>
  <c r="S95" i="20"/>
  <c r="N96" i="20"/>
  <c r="R96" i="20"/>
  <c r="S96" i="20"/>
  <c r="R97" i="20"/>
  <c r="S97" i="20"/>
  <c r="M98" i="20"/>
  <c r="R98" i="20"/>
  <c r="S98" i="20"/>
  <c r="M99" i="20"/>
  <c r="R99" i="20"/>
  <c r="S99" i="20"/>
  <c r="M100" i="20"/>
  <c r="R100" i="20"/>
  <c r="S100" i="20"/>
  <c r="M101" i="20"/>
  <c r="R101" i="20"/>
  <c r="S101" i="20"/>
  <c r="M102" i="20"/>
  <c r="R102" i="20"/>
  <c r="S102" i="20"/>
  <c r="V102" i="20"/>
  <c r="M103" i="20"/>
  <c r="R103" i="20"/>
  <c r="S103" i="20"/>
  <c r="M104" i="20"/>
  <c r="R104" i="20"/>
  <c r="S104" i="20"/>
  <c r="M105" i="20"/>
  <c r="R105" i="20"/>
  <c r="S105" i="20"/>
  <c r="R106" i="20"/>
  <c r="S106" i="20"/>
  <c r="R107" i="20"/>
  <c r="S107" i="20"/>
  <c r="R108" i="20"/>
  <c r="S108" i="20"/>
  <c r="R109" i="20"/>
  <c r="S109" i="20"/>
  <c r="R110" i="20"/>
  <c r="S110" i="20"/>
  <c r="M111" i="20"/>
  <c r="R111" i="20"/>
  <c r="S111" i="20"/>
  <c r="M112" i="20"/>
  <c r="R112" i="20"/>
  <c r="S112" i="20"/>
  <c r="U112" i="20"/>
  <c r="M113" i="20"/>
  <c r="R113" i="20"/>
  <c r="S113" i="20"/>
  <c r="R114" i="20"/>
  <c r="S114" i="20"/>
  <c r="R115" i="20"/>
  <c r="S115" i="20"/>
  <c r="J116" i="20"/>
  <c r="S116" i="20" s="1"/>
  <c r="R116" i="20"/>
  <c r="R117" i="20"/>
  <c r="S117" i="20"/>
  <c r="R118" i="20"/>
  <c r="S118" i="20"/>
  <c r="R119" i="20"/>
  <c r="S119" i="20"/>
  <c r="P120" i="20"/>
  <c r="R120" i="20"/>
  <c r="S120" i="20"/>
  <c r="R121" i="20"/>
  <c r="S121" i="20"/>
  <c r="U121" i="20"/>
  <c r="V121" i="20"/>
  <c r="R122" i="20"/>
  <c r="S122" i="20"/>
  <c r="R123" i="20"/>
  <c r="S123" i="20"/>
  <c r="R124" i="20"/>
  <c r="S124" i="20"/>
  <c r="R125" i="20"/>
  <c r="S125" i="20"/>
  <c r="R126" i="20"/>
  <c r="S126" i="20"/>
  <c r="R127" i="20"/>
  <c r="S127" i="20"/>
  <c r="R128" i="20"/>
  <c r="S128" i="20"/>
  <c r="M129" i="20"/>
  <c r="R129" i="20"/>
  <c r="S129" i="20"/>
  <c r="M130" i="20"/>
  <c r="R130" i="20"/>
  <c r="S130" i="20"/>
  <c r="R131" i="20"/>
  <c r="S131" i="20"/>
  <c r="R132" i="20"/>
  <c r="S132" i="20"/>
  <c r="R133" i="20"/>
  <c r="S133" i="20"/>
  <c r="R134" i="20"/>
  <c r="S134" i="20"/>
  <c r="G135" i="20"/>
  <c r="R135" i="20" s="1"/>
  <c r="S135" i="20"/>
  <c r="R136" i="20"/>
  <c r="S136" i="20"/>
  <c r="N137" i="20"/>
  <c r="N120" i="20"/>
  <c r="O137" i="20"/>
  <c r="O120" i="20" s="1"/>
  <c r="R137" i="20"/>
  <c r="S137" i="20"/>
  <c r="M138" i="20"/>
  <c r="N138" i="20"/>
  <c r="V138" i="20" s="1"/>
  <c r="O138" i="20"/>
  <c r="P138" i="20"/>
  <c r="Q138" i="20"/>
  <c r="Q115" i="20" s="1"/>
  <c r="U140" i="20"/>
  <c r="M141" i="20"/>
  <c r="N141" i="20"/>
  <c r="O141" i="20"/>
  <c r="P141" i="20"/>
  <c r="O143" i="20"/>
  <c r="P143" i="20"/>
  <c r="N145" i="20"/>
  <c r="M145" i="20" s="1"/>
  <c r="N146" i="20"/>
  <c r="M146" i="20" s="1"/>
  <c r="M147" i="20"/>
  <c r="M148" i="20"/>
  <c r="M149" i="20"/>
  <c r="M150" i="20"/>
  <c r="M151" i="20"/>
  <c r="M152" i="20"/>
  <c r="M153" i="20"/>
  <c r="M154" i="20"/>
  <c r="M155" i="20"/>
  <c r="M156" i="20"/>
  <c r="N157" i="20"/>
  <c r="M159" i="20"/>
  <c r="N160" i="20"/>
  <c r="M160" i="20" s="1"/>
  <c r="N161" i="20"/>
  <c r="M162" i="20"/>
  <c r="M163" i="20"/>
  <c r="O164" i="20"/>
  <c r="P164" i="20"/>
  <c r="V164" i="20"/>
  <c r="N165" i="20"/>
  <c r="M165" i="20" s="1"/>
  <c r="M166" i="20"/>
  <c r="M167" i="20"/>
  <c r="M169" i="20"/>
  <c r="N175" i="20"/>
  <c r="O175" i="20"/>
  <c r="P175" i="20"/>
  <c r="M181" i="20"/>
  <c r="M188" i="20"/>
  <c r="M189" i="20"/>
  <c r="M197" i="20"/>
  <c r="N225" i="20"/>
  <c r="V225" i="20"/>
  <c r="O225" i="20"/>
  <c r="P225" i="20"/>
  <c r="Q225" i="20"/>
  <c r="M226" i="20"/>
  <c r="N231" i="20"/>
  <c r="O231" i="20"/>
  <c r="P231" i="20"/>
  <c r="Q231" i="20"/>
  <c r="P234" i="20"/>
  <c r="M234" i="20" s="1"/>
  <c r="V234" i="20"/>
  <c r="M235" i="20"/>
  <c r="U235" i="20"/>
  <c r="N236" i="20"/>
  <c r="M236" i="20" s="1"/>
  <c r="M237" i="20"/>
  <c r="M238" i="20"/>
  <c r="M239" i="20"/>
  <c r="M240" i="20"/>
  <c r="M241" i="20"/>
  <c r="P243" i="20"/>
  <c r="Q243" i="20"/>
  <c r="V243" i="20"/>
  <c r="N244" i="20"/>
  <c r="M244" i="20" s="1"/>
  <c r="M245" i="20"/>
  <c r="M246" i="20"/>
  <c r="M247" i="20"/>
  <c r="M248" i="20"/>
  <c r="N249" i="20"/>
  <c r="N250" i="20"/>
  <c r="O254" i="20"/>
  <c r="O243" i="20" s="1"/>
  <c r="O255" i="20"/>
  <c r="P255" i="20"/>
  <c r="N256" i="20"/>
  <c r="N255" i="20" s="1"/>
  <c r="J263" i="20"/>
  <c r="O263" i="20"/>
  <c r="P263" i="20"/>
  <c r="Q263" i="20"/>
  <c r="M264" i="20"/>
  <c r="N265" i="20"/>
  <c r="M265" i="20" s="1"/>
  <c r="J266" i="20"/>
  <c r="N266" i="20"/>
  <c r="O266" i="20"/>
  <c r="P266" i="20"/>
  <c r="Q266" i="20"/>
  <c r="M267" i="20"/>
  <c r="M268" i="20"/>
  <c r="J269" i="20"/>
  <c r="N269" i="20"/>
  <c r="O269" i="20"/>
  <c r="P269" i="20"/>
  <c r="Q269" i="20"/>
  <c r="M270" i="20"/>
  <c r="M271" i="20"/>
  <c r="J273" i="20"/>
  <c r="N274" i="20"/>
  <c r="N273" i="20" s="1"/>
  <c r="Q10" i="4"/>
  <c r="K5" i="8"/>
  <c r="M5" i="8"/>
  <c r="N5" i="8"/>
  <c r="O5" i="8"/>
  <c r="L6" i="8"/>
  <c r="L7" i="8"/>
  <c r="L8" i="8"/>
  <c r="L9" i="8"/>
  <c r="K10" i="8"/>
  <c r="M10" i="8"/>
  <c r="N10" i="8"/>
  <c r="O10" i="8"/>
  <c r="L11" i="8"/>
  <c r="L12" i="8"/>
  <c r="L10" i="8" s="1"/>
  <c r="L13" i="8"/>
  <c r="L14" i="8"/>
  <c r="L15" i="8"/>
  <c r="L16" i="8"/>
  <c r="L17" i="8"/>
  <c r="L18" i="8"/>
  <c r="H17" i="15"/>
  <c r="I17" i="15"/>
  <c r="J17" i="15"/>
  <c r="K17" i="15"/>
  <c r="L17" i="15"/>
  <c r="M17" i="15"/>
  <c r="N17" i="15"/>
  <c r="O17" i="15"/>
  <c r="F20" i="15"/>
  <c r="G20" i="15"/>
  <c r="H20" i="15"/>
  <c r="I20" i="15"/>
  <c r="J20" i="15"/>
  <c r="K20" i="15"/>
  <c r="L20" i="15"/>
  <c r="M20" i="15"/>
  <c r="N20" i="15"/>
  <c r="O20" i="15"/>
  <c r="P20" i="15"/>
  <c r="F24" i="15"/>
  <c r="G24" i="15"/>
  <c r="P24" i="15"/>
  <c r="D26" i="15"/>
  <c r="D24" i="15" s="1"/>
  <c r="E26" i="15"/>
  <c r="E24" i="15" s="1"/>
  <c r="H26" i="15"/>
  <c r="H24" i="15" s="1"/>
  <c r="H18" i="15"/>
  <c r="I26" i="15"/>
  <c r="I18" i="15" s="1"/>
  <c r="J26" i="15"/>
  <c r="J18" i="15" s="1"/>
  <c r="K26" i="15"/>
  <c r="K24" i="15" s="1"/>
  <c r="L26" i="15"/>
  <c r="L24" i="15" s="1"/>
  <c r="M26" i="15"/>
  <c r="M18" i="15" s="1"/>
  <c r="M16" i="15" s="1"/>
  <c r="N26" i="15"/>
  <c r="N24" i="15" s="1"/>
  <c r="O26" i="15"/>
  <c r="O18" i="15" s="1"/>
  <c r="F28" i="15"/>
  <c r="G28" i="15"/>
  <c r="H28" i="15"/>
  <c r="I28" i="15"/>
  <c r="J28" i="15"/>
  <c r="K28" i="15"/>
  <c r="L28" i="15"/>
  <c r="M28" i="15"/>
  <c r="N28" i="15"/>
  <c r="O28" i="15"/>
  <c r="P28" i="15"/>
  <c r="D29" i="15"/>
  <c r="E29" i="15"/>
  <c r="D30" i="15"/>
  <c r="D28" i="15" s="1"/>
  <c r="E30" i="15"/>
  <c r="G32" i="15"/>
  <c r="H32" i="15"/>
  <c r="I32" i="15"/>
  <c r="J32" i="15"/>
  <c r="K32" i="15"/>
  <c r="L32" i="15"/>
  <c r="M32" i="15"/>
  <c r="N32" i="15"/>
  <c r="O32" i="15"/>
  <c r="P32" i="15"/>
  <c r="D33" i="15"/>
  <c r="D17" i="15" s="1"/>
  <c r="E33" i="15"/>
  <c r="D34" i="15"/>
  <c r="E34" i="15"/>
  <c r="H36" i="15"/>
  <c r="I36" i="15"/>
  <c r="J36" i="15"/>
  <c r="K36" i="15"/>
  <c r="L36" i="15"/>
  <c r="M36" i="15"/>
  <c r="N36" i="15"/>
  <c r="O36" i="15"/>
  <c r="P36" i="15"/>
  <c r="D38" i="15"/>
  <c r="D36" i="15" s="1"/>
  <c r="E38" i="15"/>
  <c r="E36" i="15" s="1"/>
  <c r="H40" i="15"/>
  <c r="I40" i="15"/>
  <c r="J40" i="15"/>
  <c r="K40" i="15"/>
  <c r="L40" i="15"/>
  <c r="M40" i="15"/>
  <c r="N40" i="15"/>
  <c r="O40" i="15"/>
  <c r="D41" i="15"/>
  <c r="E41" i="15"/>
  <c r="F41" i="15"/>
  <c r="G41" i="15"/>
  <c r="D42" i="15"/>
  <c r="E42" i="15"/>
  <c r="F42" i="15"/>
  <c r="G42" i="15"/>
  <c r="D45" i="15"/>
  <c r="E45" i="15"/>
  <c r="F45" i="15"/>
  <c r="G45" i="15"/>
  <c r="D46" i="15"/>
  <c r="E46" i="15"/>
  <c r="D48" i="15"/>
  <c r="E48" i="15"/>
  <c r="F48" i="15"/>
  <c r="G48" i="15"/>
  <c r="H48" i="15"/>
  <c r="I48" i="15"/>
  <c r="J48" i="15"/>
  <c r="K48" i="15"/>
  <c r="L48" i="15"/>
  <c r="M48" i="15"/>
  <c r="N48" i="15"/>
  <c r="O48" i="15"/>
  <c r="D52" i="15"/>
  <c r="E52" i="15"/>
  <c r="F52" i="15"/>
  <c r="G52" i="15"/>
  <c r="H52" i="15"/>
  <c r="I52" i="15"/>
  <c r="J52" i="15"/>
  <c r="K52" i="15"/>
  <c r="L52" i="15"/>
  <c r="M52" i="15"/>
  <c r="N52" i="15"/>
  <c r="O52" i="15"/>
  <c r="D56" i="15"/>
  <c r="E56" i="15"/>
  <c r="F56" i="15"/>
  <c r="G56" i="15"/>
  <c r="H56" i="15"/>
  <c r="I56" i="15"/>
  <c r="J56" i="15"/>
  <c r="K56" i="15"/>
  <c r="L56" i="15"/>
  <c r="M56" i="15"/>
  <c r="N56" i="15"/>
  <c r="O56" i="15"/>
  <c r="P56" i="15"/>
  <c r="D60" i="15"/>
  <c r="E60" i="15"/>
  <c r="G60" i="15"/>
  <c r="H60" i="15"/>
  <c r="I60" i="15"/>
  <c r="J60" i="15"/>
  <c r="K60" i="15"/>
  <c r="L60" i="15"/>
  <c r="M60" i="15"/>
  <c r="N60" i="15"/>
  <c r="O60" i="15"/>
  <c r="P61" i="15"/>
  <c r="P60" i="15" s="1"/>
  <c r="F62" i="15"/>
  <c r="F34" i="15" s="1"/>
  <c r="D64" i="15"/>
  <c r="E64" i="15"/>
  <c r="H64" i="15"/>
  <c r="I64" i="15"/>
  <c r="J64" i="15"/>
  <c r="K64" i="15"/>
  <c r="L64" i="15"/>
  <c r="M64" i="15"/>
  <c r="N64" i="15"/>
  <c r="O64" i="15"/>
  <c r="P65" i="15"/>
  <c r="P64" i="15" s="1"/>
  <c r="F66" i="15"/>
  <c r="F38" i="15" s="1"/>
  <c r="F36" i="15" s="1"/>
  <c r="G66" i="15"/>
  <c r="G46" i="15" s="1"/>
  <c r="P66" i="15"/>
  <c r="D69" i="15"/>
  <c r="E69" i="15"/>
  <c r="F69" i="15"/>
  <c r="G69" i="15"/>
  <c r="P69" i="15"/>
  <c r="D70" i="15"/>
  <c r="D68" i="15" s="1"/>
  <c r="E70" i="15"/>
  <c r="F70" i="15"/>
  <c r="G70" i="15"/>
  <c r="P70" i="15"/>
  <c r="D72" i="15"/>
  <c r="E72" i="15"/>
  <c r="F72" i="15"/>
  <c r="G72" i="15"/>
  <c r="H72" i="15"/>
  <c r="I72" i="15"/>
  <c r="J72" i="15"/>
  <c r="K72" i="15"/>
  <c r="L72" i="15"/>
  <c r="M72" i="15"/>
  <c r="N72" i="15"/>
  <c r="O72" i="15"/>
  <c r="O68" i="15" s="1"/>
  <c r="P73" i="15"/>
  <c r="P74" i="15"/>
  <c r="D76" i="15"/>
  <c r="E76" i="15"/>
  <c r="F76" i="15"/>
  <c r="G76" i="15"/>
  <c r="H76" i="15"/>
  <c r="H68" i="15" s="1"/>
  <c r="I76" i="15"/>
  <c r="I68" i="15" s="1"/>
  <c r="J76" i="15"/>
  <c r="K76" i="15"/>
  <c r="L76" i="15"/>
  <c r="M76" i="15"/>
  <c r="N76" i="15"/>
  <c r="O76" i="15"/>
  <c r="P77" i="15"/>
  <c r="P76" i="15" s="1"/>
  <c r="D80" i="15"/>
  <c r="E80" i="15"/>
  <c r="F80" i="15"/>
  <c r="G80" i="15"/>
  <c r="H80" i="15"/>
  <c r="I80" i="15"/>
  <c r="J80" i="15"/>
  <c r="K80" i="15"/>
  <c r="L80" i="15"/>
  <c r="M80" i="15"/>
  <c r="N80" i="15"/>
  <c r="O80" i="15"/>
  <c r="P81" i="15"/>
  <c r="P82" i="15"/>
  <c r="H83" i="15"/>
  <c r="I83" i="15"/>
  <c r="J83" i="15"/>
  <c r="K83" i="15"/>
  <c r="L83" i="15"/>
  <c r="M83" i="15"/>
  <c r="N83" i="15"/>
  <c r="O83" i="15"/>
  <c r="D84" i="15"/>
  <c r="E84" i="15"/>
  <c r="F84" i="15"/>
  <c r="G84" i="15"/>
  <c r="P84" i="15"/>
  <c r="D85" i="15"/>
  <c r="E85" i="15"/>
  <c r="E83" i="15" s="1"/>
  <c r="F85" i="15"/>
  <c r="G85" i="15"/>
  <c r="P85" i="15"/>
  <c r="D87" i="15"/>
  <c r="E87" i="15"/>
  <c r="F87" i="15"/>
  <c r="G87" i="15"/>
  <c r="H87" i="15"/>
  <c r="I87" i="15"/>
  <c r="J87" i="15"/>
  <c r="K87" i="15"/>
  <c r="L87" i="15"/>
  <c r="M87" i="15"/>
  <c r="N87" i="15"/>
  <c r="O87" i="15"/>
  <c r="P88" i="15"/>
  <c r="P89" i="15"/>
  <c r="H91" i="15"/>
  <c r="I91" i="15"/>
  <c r="J91" i="15"/>
  <c r="K91" i="15"/>
  <c r="L91" i="15"/>
  <c r="M91" i="15"/>
  <c r="N91" i="15"/>
  <c r="O91" i="15"/>
  <c r="D92" i="15"/>
  <c r="E92" i="15"/>
  <c r="F92" i="15"/>
  <c r="G92" i="15"/>
  <c r="P92" i="15"/>
  <c r="P53" i="15" s="1"/>
  <c r="P52" i="15" s="1"/>
  <c r="D93" i="15"/>
  <c r="E93" i="15"/>
  <c r="E91" i="15" s="1"/>
  <c r="F93" i="15"/>
  <c r="G93" i="15"/>
  <c r="P93" i="15"/>
  <c r="D94" i="15"/>
  <c r="E94" i="15"/>
  <c r="F94" i="15"/>
  <c r="G94" i="15"/>
  <c r="H94" i="15"/>
  <c r="I94" i="15"/>
  <c r="J94" i="15"/>
  <c r="K94" i="15"/>
  <c r="L94" i="15"/>
  <c r="M94" i="15"/>
  <c r="N94" i="15"/>
  <c r="O94" i="15"/>
  <c r="P95" i="15"/>
  <c r="P96" i="15"/>
  <c r="E24" i="23"/>
  <c r="E22" i="23" s="1"/>
  <c r="F24" i="23"/>
  <c r="F22" i="23" s="1"/>
  <c r="G24" i="23"/>
  <c r="G22" i="23" s="1"/>
  <c r="E26" i="23"/>
  <c r="F26" i="23"/>
  <c r="G26" i="23"/>
  <c r="E27" i="23"/>
  <c r="F27" i="23"/>
  <c r="F25" i="23" s="1"/>
  <c r="G27" i="23"/>
  <c r="E29" i="23"/>
  <c r="F30" i="23"/>
  <c r="F28" i="23" s="1"/>
  <c r="G30" i="23"/>
  <c r="G28" i="23" s="1"/>
  <c r="E35" i="23"/>
  <c r="F35" i="23"/>
  <c r="F34" i="23" s="1"/>
  <c r="G35" i="23"/>
  <c r="E36" i="23"/>
  <c r="F36" i="23"/>
  <c r="G36" i="23"/>
  <c r="E38" i="23"/>
  <c r="F38" i="23"/>
  <c r="G38" i="23"/>
  <c r="E40" i="23"/>
  <c r="E21" i="23" s="1"/>
  <c r="F40" i="23"/>
  <c r="F21" i="23" s="1"/>
  <c r="F19" i="23" s="1"/>
  <c r="G40" i="23"/>
  <c r="G21" i="23" s="1"/>
  <c r="G19" i="23" s="1"/>
  <c r="E43" i="23"/>
  <c r="F43" i="23"/>
  <c r="G43" i="23"/>
  <c r="E46" i="23"/>
  <c r="F46" i="23"/>
  <c r="G46" i="23"/>
  <c r="F49" i="23"/>
  <c r="G49" i="23"/>
  <c r="E54" i="23"/>
  <c r="E33" i="23" s="1"/>
  <c r="E31" i="23" s="1"/>
  <c r="F54" i="23"/>
  <c r="F52" i="23" s="1"/>
  <c r="F37" i="23" s="1"/>
  <c r="G54" i="23"/>
  <c r="G52" i="23" s="1"/>
  <c r="E56" i="23"/>
  <c r="E55" i="23" s="1"/>
  <c r="F56" i="23"/>
  <c r="G56" i="23"/>
  <c r="E57" i="23"/>
  <c r="F57" i="23"/>
  <c r="G57" i="23"/>
  <c r="E58" i="23"/>
  <c r="F58" i="23"/>
  <c r="G58" i="23"/>
  <c r="E61" i="23"/>
  <c r="F61" i="23"/>
  <c r="G61" i="23"/>
  <c r="E64" i="23"/>
  <c r="F64" i="23"/>
  <c r="G64" i="23"/>
  <c r="E68" i="23"/>
  <c r="F68" i="23"/>
  <c r="G68" i="23"/>
  <c r="E69" i="23"/>
  <c r="F69" i="23"/>
  <c r="G69" i="23"/>
  <c r="E70" i="23"/>
  <c r="F70" i="23"/>
  <c r="G70" i="23"/>
  <c r="E74" i="23"/>
  <c r="F74" i="23"/>
  <c r="F73" i="23" s="1"/>
  <c r="G74" i="23"/>
  <c r="E75" i="23"/>
  <c r="E73" i="23" s="1"/>
  <c r="F75" i="23"/>
  <c r="G75" i="23"/>
  <c r="E76" i="23"/>
  <c r="E51" i="23" s="1"/>
  <c r="F76" i="23"/>
  <c r="G76" i="23"/>
  <c r="F58" i="12"/>
  <c r="G58" i="12"/>
  <c r="H58" i="12"/>
  <c r="I58" i="12"/>
  <c r="J58" i="12"/>
  <c r="K58" i="12"/>
  <c r="L58" i="12"/>
  <c r="F60" i="12"/>
  <c r="G60" i="12"/>
  <c r="H60" i="12"/>
  <c r="I60" i="12"/>
  <c r="J60" i="12"/>
  <c r="K60" i="12"/>
  <c r="L60" i="12"/>
  <c r="H62" i="12"/>
  <c r="F66" i="25"/>
  <c r="G66" i="25"/>
  <c r="I66" i="25"/>
  <c r="J66" i="25"/>
  <c r="K66" i="25"/>
  <c r="L66" i="25"/>
  <c r="F68" i="25"/>
  <c r="G68" i="25"/>
  <c r="H68" i="25"/>
  <c r="I68" i="25"/>
  <c r="J68" i="25"/>
  <c r="K68" i="25"/>
  <c r="L68" i="25"/>
  <c r="H70" i="25"/>
  <c r="E16" i="10"/>
  <c r="E15" i="24"/>
  <c r="O51" i="28"/>
  <c r="O135" i="28"/>
  <c r="S153" i="27"/>
  <c r="O439" i="28"/>
  <c r="O431" i="28"/>
  <c r="P431" i="28"/>
  <c r="P435" i="28"/>
  <c r="Q431" i="28"/>
  <c r="O435" i="28"/>
  <c r="Q435" i="28"/>
  <c r="O557" i="28"/>
  <c r="O553" i="28" s="1"/>
  <c r="O690" i="28"/>
  <c r="O489" i="26"/>
  <c r="P447" i="28"/>
  <c r="P42" i="15"/>
  <c r="P18" i="15" s="1"/>
  <c r="D15" i="10" s="1"/>
  <c r="O405" i="26"/>
  <c r="O355" i="26"/>
  <c r="G17" i="15"/>
  <c r="P133" i="26"/>
  <c r="O367" i="28"/>
  <c r="Z367" i="28" s="1"/>
  <c r="L157" i="21"/>
  <c r="Q427" i="28"/>
  <c r="M257" i="21"/>
  <c r="M251" i="21" s="1"/>
  <c r="O571" i="26"/>
  <c r="O602" i="27"/>
  <c r="R69" i="21"/>
  <c r="S531" i="27"/>
  <c r="O529" i="27"/>
  <c r="N272" i="20"/>
  <c r="L23" i="21"/>
  <c r="O284" i="27"/>
  <c r="T153" i="27"/>
  <c r="S201" i="27"/>
  <c r="F17" i="23"/>
  <c r="C13" i="24" s="1"/>
  <c r="P27" i="28"/>
  <c r="S28" i="28" s="1"/>
  <c r="P25" i="28"/>
  <c r="P23" i="28" s="1"/>
  <c r="N745" i="27"/>
  <c r="N746" i="27"/>
  <c r="O20" i="27"/>
  <c r="U39" i="20"/>
  <c r="Q579" i="28"/>
  <c r="T581" i="28" s="1"/>
  <c r="Q602" i="27"/>
  <c r="Q27" i="28"/>
  <c r="T28" i="28" s="1"/>
  <c r="P678" i="28"/>
  <c r="F17" i="15"/>
  <c r="C13" i="10" s="1"/>
  <c r="P64" i="26"/>
  <c r="O721" i="27"/>
  <c r="Q709" i="27"/>
  <c r="P367" i="28"/>
  <c r="AA367" i="28" s="1"/>
  <c r="P571" i="26"/>
  <c r="R153" i="27"/>
  <c r="O160" i="28"/>
  <c r="O24" i="15"/>
  <c r="O256" i="26"/>
  <c r="S258" i="26"/>
  <c r="P87" i="15"/>
  <c r="P49" i="15"/>
  <c r="P48" i="15" s="1"/>
  <c r="P100" i="26"/>
  <c r="P21" i="26"/>
  <c r="O459" i="27"/>
  <c r="O457" i="27" s="1"/>
  <c r="R458" i="27" s="1"/>
  <c r="O465" i="27"/>
  <c r="E22" i="15"/>
  <c r="Q405" i="26"/>
  <c r="Q355" i="26"/>
  <c r="E34" i="23"/>
  <c r="P579" i="28"/>
  <c r="P163" i="28"/>
  <c r="AA163" i="28" s="1"/>
  <c r="P41" i="15"/>
  <c r="P17" i="15" s="1"/>
  <c r="C15" i="10" s="1"/>
  <c r="O211" i="28"/>
  <c r="Z211" i="28" s="1"/>
  <c r="L18" i="15"/>
  <c r="D22" i="15"/>
  <c r="Q538" i="26"/>
  <c r="O124" i="27"/>
  <c r="P100" i="27"/>
  <c r="V123" i="20"/>
  <c r="O145" i="27"/>
  <c r="M24" i="15"/>
  <c r="Q23" i="28"/>
  <c r="Q21" i="28"/>
  <c r="M22" i="20"/>
  <c r="N263" i="20"/>
  <c r="Q367" i="28"/>
  <c r="T368" i="28" s="1"/>
  <c r="N143" i="20"/>
  <c r="N115" i="20" s="1"/>
  <c r="O538" i="26"/>
  <c r="O427" i="26"/>
  <c r="C14" i="10"/>
  <c r="P733" i="27"/>
  <c r="Q553" i="28"/>
  <c r="O25" i="28"/>
  <c r="O21" i="28" s="1"/>
  <c r="P45" i="15"/>
  <c r="P46" i="15"/>
  <c r="AB163" i="28"/>
  <c r="T164" i="28"/>
  <c r="Z111" i="28"/>
  <c r="AA364" i="28"/>
  <c r="Z364" i="28"/>
  <c r="P22" i="27"/>
  <c r="Q112" i="27"/>
  <c r="O705" i="27"/>
  <c r="O451" i="28"/>
  <c r="I24" i="15"/>
  <c r="O578" i="27"/>
  <c r="E17" i="23"/>
  <c r="C12" i="24" s="1"/>
  <c r="N18" i="15"/>
  <c r="N16" i="15" s="1"/>
  <c r="P705" i="27"/>
  <c r="N16" i="35" l="1"/>
  <c r="M15" i="36"/>
  <c r="R428" i="28"/>
  <c r="Z427" i="28"/>
  <c r="S164" i="28"/>
  <c r="N15" i="34"/>
  <c r="I16" i="15"/>
  <c r="M19" i="21"/>
  <c r="O425" i="26"/>
  <c r="I349" i="26"/>
  <c r="O666" i="28"/>
  <c r="M231" i="20"/>
  <c r="P111" i="28"/>
  <c r="S112" i="28" s="1"/>
  <c r="P19" i="28"/>
  <c r="S20" i="28" s="1"/>
  <c r="K132" i="26"/>
  <c r="O147" i="27"/>
  <c r="U139" i="20"/>
  <c r="L168" i="21"/>
  <c r="R468" i="28"/>
  <c r="Q20" i="28"/>
  <c r="N251" i="21"/>
  <c r="P377" i="27"/>
  <c r="P83" i="15"/>
  <c r="O257" i="20"/>
  <c r="S218" i="26"/>
  <c r="E67" i="23"/>
  <c r="E25" i="23"/>
  <c r="P80" i="15"/>
  <c r="G68" i="15"/>
  <c r="M266" i="20"/>
  <c r="M164" i="20"/>
  <c r="Q375" i="27"/>
  <c r="N15" i="36"/>
  <c r="P160" i="28"/>
  <c r="P211" i="28"/>
  <c r="Z443" i="28"/>
  <c r="R444" i="28"/>
  <c r="AA19" i="28"/>
  <c r="S124" i="28"/>
  <c r="AA123" i="28"/>
  <c r="E49" i="23"/>
  <c r="E39" i="23"/>
  <c r="F64" i="15"/>
  <c r="K18" i="15"/>
  <c r="K16" i="15" s="1"/>
  <c r="G55" i="23"/>
  <c r="P94" i="15"/>
  <c r="M68" i="15"/>
  <c r="O186" i="26"/>
  <c r="Q443" i="28"/>
  <c r="M266" i="21"/>
  <c r="M243" i="20"/>
  <c r="F55" i="23"/>
  <c r="D44" i="15"/>
  <c r="J16" i="15"/>
  <c r="Q660" i="28"/>
  <c r="T661" i="28" s="1"/>
  <c r="N15" i="35"/>
  <c r="Q162" i="28"/>
  <c r="F60" i="15"/>
  <c r="R460" i="27"/>
  <c r="E40" i="15"/>
  <c r="O379" i="27"/>
  <c r="O377" i="27" s="1"/>
  <c r="R379" i="27" s="1"/>
  <c r="P373" i="27"/>
  <c r="O365" i="28"/>
  <c r="Z365" i="28" s="1"/>
  <c r="N702" i="26"/>
  <c r="F39" i="23"/>
  <c r="J24" i="15"/>
  <c r="D32" i="15"/>
  <c r="P257" i="20"/>
  <c r="V52" i="20"/>
  <c r="F33" i="23"/>
  <c r="F31" i="23" s="1"/>
  <c r="F83" i="15"/>
  <c r="E28" i="15"/>
  <c r="P170" i="20"/>
  <c r="N14" i="20"/>
  <c r="P513" i="26"/>
  <c r="Q22" i="26"/>
  <c r="R212" i="28"/>
  <c r="T468" i="28"/>
  <c r="Q19" i="27"/>
  <c r="T20" i="27" s="1"/>
  <c r="AB247" i="28"/>
  <c r="L39" i="21"/>
  <c r="O251" i="21"/>
  <c r="O270" i="21" s="1"/>
  <c r="O272" i="21" s="1"/>
  <c r="P134" i="26"/>
  <c r="O575" i="27"/>
  <c r="O375" i="27"/>
  <c r="P150" i="27"/>
  <c r="K367" i="28"/>
  <c r="V372" i="28"/>
  <c r="Q555" i="28"/>
  <c r="T557" i="28" s="1"/>
  <c r="O163" i="28"/>
  <c r="Z163" i="28" s="1"/>
  <c r="O17" i="28"/>
  <c r="Z17" i="28" s="1"/>
  <c r="G34" i="23"/>
  <c r="P534" i="26"/>
  <c r="P15" i="26" s="1"/>
  <c r="P662" i="28"/>
  <c r="F68" i="15"/>
  <c r="L5" i="8"/>
  <c r="O576" i="27"/>
  <c r="O659" i="27"/>
  <c r="P443" i="28"/>
  <c r="AA443" i="28" s="1"/>
  <c r="O459" i="28"/>
  <c r="M15" i="34"/>
  <c r="F46" i="15"/>
  <c r="P72" i="15"/>
  <c r="P68" i="15" s="1"/>
  <c r="G40" i="15"/>
  <c r="P19" i="27"/>
  <c r="S20" i="27" s="1"/>
  <c r="P551" i="28"/>
  <c r="S552" i="28" s="1"/>
  <c r="S64" i="28"/>
  <c r="S368" i="28"/>
  <c r="L30" i="21"/>
  <c r="N27" i="28"/>
  <c r="N23" i="28" s="1"/>
  <c r="E19" i="23"/>
  <c r="AB443" i="28"/>
  <c r="T444" i="28"/>
  <c r="S379" i="27"/>
  <c r="Q19" i="26"/>
  <c r="O21" i="27"/>
  <c r="AB123" i="28"/>
  <c r="T124" i="28"/>
  <c r="O18" i="28"/>
  <c r="O134" i="26"/>
  <c r="O19" i="26"/>
  <c r="K68" i="15"/>
  <c r="P575" i="27"/>
  <c r="V143" i="20"/>
  <c r="O264" i="26"/>
  <c r="O184" i="26" s="1"/>
  <c r="Q365" i="28"/>
  <c r="AB365" i="28" s="1"/>
  <c r="D91" i="15"/>
  <c r="G83" i="15"/>
  <c r="M44" i="15"/>
  <c r="L16" i="15"/>
  <c r="L236" i="21"/>
  <c r="P536" i="26"/>
  <c r="P351" i="26"/>
  <c r="Q138" i="26"/>
  <c r="O623" i="27"/>
  <c r="P146" i="27"/>
  <c r="P379" i="27"/>
  <c r="P374" i="27" s="1"/>
  <c r="P365" i="28"/>
  <c r="AA365" i="28" s="1"/>
  <c r="M15" i="35"/>
  <c r="G37" i="23"/>
  <c r="P553" i="27"/>
  <c r="O23" i="28"/>
  <c r="L36" i="21"/>
  <c r="G73" i="23"/>
  <c r="E68" i="15"/>
  <c r="L44" i="15"/>
  <c r="D40" i="15"/>
  <c r="P14" i="20"/>
  <c r="L260" i="21"/>
  <c r="O536" i="26"/>
  <c r="O535" i="26"/>
  <c r="Q184" i="26"/>
  <c r="P138" i="26"/>
  <c r="P574" i="27"/>
  <c r="P375" i="27"/>
  <c r="P200" i="27"/>
  <c r="Q379" i="27"/>
  <c r="Q374" i="27" s="1"/>
  <c r="Q373" i="27"/>
  <c r="O19" i="28"/>
  <c r="Z19" i="28" s="1"/>
  <c r="O573" i="27"/>
  <c r="R574" i="27" s="1"/>
  <c r="P16" i="28"/>
  <c r="AA16" i="28" s="1"/>
  <c r="O661" i="26"/>
  <c r="O159" i="28"/>
  <c r="Z159" i="28" s="1"/>
  <c r="G17" i="23"/>
  <c r="C14" i="24" s="1"/>
  <c r="C15" i="24" s="1"/>
  <c r="J44" i="15"/>
  <c r="N170" i="20"/>
  <c r="P115" i="20"/>
  <c r="O163" i="21"/>
  <c r="Q535" i="26"/>
  <c r="K349" i="26"/>
  <c r="P308" i="26"/>
  <c r="Q135" i="26"/>
  <c r="Q659" i="27"/>
  <c r="Q573" i="27" s="1"/>
  <c r="T574" i="27" s="1"/>
  <c r="Q377" i="27"/>
  <c r="P332" i="27"/>
  <c r="Q200" i="27"/>
  <c r="T202" i="27" s="1"/>
  <c r="O100" i="27"/>
  <c r="O19" i="27" s="1"/>
  <c r="R21" i="27" s="1"/>
  <c r="Q21" i="27"/>
  <c r="P555" i="28"/>
  <c r="S557" i="28" s="1"/>
  <c r="P247" i="28"/>
  <c r="P623" i="27"/>
  <c r="Z123" i="28"/>
  <c r="G64" i="15"/>
  <c r="G44" i="15" s="1"/>
  <c r="T428" i="28"/>
  <c r="G39" i="23"/>
  <c r="N68" i="15"/>
  <c r="I44" i="15"/>
  <c r="H16" i="15"/>
  <c r="Q257" i="20"/>
  <c r="O351" i="26"/>
  <c r="P135" i="26"/>
  <c r="Q21" i="26"/>
  <c r="Q553" i="27"/>
  <c r="O332" i="27"/>
  <c r="I144" i="27"/>
  <c r="P21" i="27"/>
  <c r="Q552" i="28"/>
  <c r="Q551" i="28" s="1"/>
  <c r="T112" i="28"/>
  <c r="E30" i="23"/>
  <c r="E28" i="23" s="1"/>
  <c r="G33" i="23"/>
  <c r="O247" i="28"/>
  <c r="G38" i="15"/>
  <c r="H44" i="15"/>
  <c r="O115" i="20"/>
  <c r="M163" i="21"/>
  <c r="P619" i="26"/>
  <c r="P533" i="26" s="1"/>
  <c r="Q513" i="26"/>
  <c r="Q349" i="26"/>
  <c r="Q15" i="26" s="1"/>
  <c r="I132" i="26"/>
  <c r="O135" i="26"/>
  <c r="L373" i="27"/>
  <c r="Q332" i="27"/>
  <c r="O552" i="28"/>
  <c r="O16" i="28" s="1"/>
  <c r="K44" i="15"/>
  <c r="M14" i="21"/>
  <c r="Q661" i="26"/>
  <c r="O349" i="26"/>
  <c r="O21" i="26"/>
  <c r="O373" i="27"/>
  <c r="O15" i="27" s="1"/>
  <c r="Q147" i="27"/>
  <c r="I367" i="28"/>
  <c r="O14" i="20"/>
  <c r="L144" i="27"/>
  <c r="AB367" i="28"/>
  <c r="E17" i="15"/>
  <c r="E52" i="23"/>
  <c r="E37" i="23" s="1"/>
  <c r="R368" i="28"/>
  <c r="P91" i="15"/>
  <c r="L68" i="15"/>
  <c r="F18" i="15"/>
  <c r="F16" i="15" s="1"/>
  <c r="F13" i="10" s="1"/>
  <c r="E44" i="15"/>
  <c r="P163" i="21"/>
  <c r="I709" i="26"/>
  <c r="O308" i="26"/>
  <c r="Q134" i="26"/>
  <c r="P659" i="27"/>
  <c r="P147" i="27"/>
  <c r="P17" i="27" s="1"/>
  <c r="P451" i="28"/>
  <c r="O15" i="35"/>
  <c r="L15" i="36"/>
  <c r="P350" i="26"/>
  <c r="Q308" i="26"/>
  <c r="O138" i="26"/>
  <c r="O374" i="27"/>
  <c r="Q350" i="26"/>
  <c r="G91" i="15"/>
  <c r="J68" i="15"/>
  <c r="Q14" i="20"/>
  <c r="P251" i="21"/>
  <c r="N163" i="21"/>
  <c r="O619" i="26"/>
  <c r="P425" i="26"/>
  <c r="L132" i="26"/>
  <c r="Q705" i="27"/>
  <c r="O553" i="27"/>
  <c r="O372" i="27" s="1"/>
  <c r="R373" i="27" s="1"/>
  <c r="P457" i="27"/>
  <c r="P372" i="27" s="1"/>
  <c r="S373" i="27" s="1"/>
  <c r="K373" i="27"/>
  <c r="Q146" i="27"/>
  <c r="K144" i="27"/>
  <c r="L367" i="28"/>
  <c r="P214" i="28"/>
  <c r="P162" i="28" s="1"/>
  <c r="P18" i="28" s="1"/>
  <c r="T64" i="28"/>
  <c r="S468" i="28"/>
  <c r="Q619" i="26"/>
  <c r="Q583" i="26"/>
  <c r="Q457" i="27"/>
  <c r="M175" i="20"/>
  <c r="P40" i="15"/>
  <c r="P661" i="26"/>
  <c r="O363" i="28"/>
  <c r="P405" i="26"/>
  <c r="P353" i="26" s="1"/>
  <c r="P348" i="26" s="1"/>
  <c r="Q212" i="28"/>
  <c r="Q211" i="28" s="1"/>
  <c r="G67" i="23"/>
  <c r="F91" i="15"/>
  <c r="D83" i="15"/>
  <c r="O44" i="15"/>
  <c r="F40" i="15"/>
  <c r="E32" i="15"/>
  <c r="Q170" i="20"/>
  <c r="L263" i="21"/>
  <c r="L218" i="21"/>
  <c r="L163" i="21" s="1"/>
  <c r="N111" i="21"/>
  <c r="O583" i="26"/>
  <c r="O513" i="26"/>
  <c r="Q351" i="26"/>
  <c r="P22" i="26"/>
  <c r="P17" i="26" s="1"/>
  <c r="Q575" i="27"/>
  <c r="I753" i="27"/>
  <c r="O22" i="27"/>
  <c r="O17" i="27" s="1"/>
  <c r="Q662" i="28"/>
  <c r="Q161" i="28"/>
  <c r="R581" i="28"/>
  <c r="L15" i="34"/>
  <c r="Q425" i="26"/>
  <c r="F67" i="23"/>
  <c r="G25" i="23"/>
  <c r="N44" i="15"/>
  <c r="M269" i="20"/>
  <c r="M225" i="20"/>
  <c r="Q536" i="26"/>
  <c r="P535" i="26"/>
  <c r="L349" i="26"/>
  <c r="P184" i="26"/>
  <c r="O133" i="26"/>
  <c r="O202" i="27"/>
  <c r="Q145" i="27"/>
  <c r="Q15" i="27" s="1"/>
  <c r="T17" i="27" s="1"/>
  <c r="P161" i="28"/>
  <c r="P159" i="28" s="1"/>
  <c r="AA551" i="28"/>
  <c r="F32" i="15"/>
  <c r="D20" i="15"/>
  <c r="D18" i="15"/>
  <c r="D16" i="15" s="1"/>
  <c r="P44" i="15"/>
  <c r="R20" i="28"/>
  <c r="P16" i="15"/>
  <c r="F15" i="10" s="1"/>
  <c r="C12" i="10"/>
  <c r="C16" i="10" s="1"/>
  <c r="O16" i="15"/>
  <c r="O44" i="20"/>
  <c r="M50" i="20"/>
  <c r="N257" i="20"/>
  <c r="U276" i="20" s="1"/>
  <c r="V276" i="20" s="1"/>
  <c r="V263" i="20"/>
  <c r="M263" i="20"/>
  <c r="Q19" i="28"/>
  <c r="E20" i="15"/>
  <c r="E18" i="15"/>
  <c r="D12" i="10" s="1"/>
  <c r="O170" i="20"/>
  <c r="O350" i="26"/>
  <c r="P659" i="26"/>
  <c r="P19" i="26"/>
  <c r="Q160" i="28"/>
  <c r="AB427" i="28"/>
  <c r="O659" i="26"/>
  <c r="P703" i="27"/>
  <c r="N749" i="27"/>
  <c r="N751" i="27" s="1"/>
  <c r="Q18" i="28"/>
  <c r="P660" i="28"/>
  <c r="O551" i="28"/>
  <c r="M270" i="21"/>
  <c r="M272" i="21" s="1"/>
  <c r="O703" i="27"/>
  <c r="O660" i="28"/>
  <c r="M35" i="20"/>
  <c r="O353" i="26"/>
  <c r="O348" i="26" s="1"/>
  <c r="Q353" i="26"/>
  <c r="S581" i="28"/>
  <c r="Q733" i="27"/>
  <c r="Q703" i="27" s="1"/>
  <c r="I373" i="27"/>
  <c r="P145" i="27"/>
  <c r="O116" i="27"/>
  <c r="Q22" i="27"/>
  <c r="Q364" i="28"/>
  <c r="P600" i="28"/>
  <c r="S602" i="28" s="1"/>
  <c r="O555" i="28"/>
  <c r="R557" i="28" s="1"/>
  <c r="P427" i="28"/>
  <c r="Q677" i="26"/>
  <c r="Q659" i="26" s="1"/>
  <c r="O132" i="26" l="1"/>
  <c r="F18" i="23"/>
  <c r="D13" i="24" s="1"/>
  <c r="F44" i="15"/>
  <c r="P573" i="27"/>
  <c r="S574" i="27" s="1"/>
  <c r="Q17" i="28"/>
  <c r="AB17" i="28" s="1"/>
  <c r="Q16" i="26"/>
  <c r="AA111" i="28"/>
  <c r="N270" i="21"/>
  <c r="N272" i="21" s="1"/>
  <c r="R164" i="28"/>
  <c r="P363" i="28"/>
  <c r="S364" i="28" s="1"/>
  <c r="Q533" i="26"/>
  <c r="Q16" i="27"/>
  <c r="P17" i="28"/>
  <c r="AA17" i="28" s="1"/>
  <c r="P16" i="26"/>
  <c r="T270" i="21"/>
  <c r="F16" i="23"/>
  <c r="F13" i="24" s="1"/>
  <c r="Q144" i="27"/>
  <c r="T145" i="27" s="1"/>
  <c r="S444" i="28"/>
  <c r="O533" i="26"/>
  <c r="O14" i="26" s="1"/>
  <c r="R18" i="28"/>
  <c r="D13" i="10"/>
  <c r="Q348" i="26"/>
  <c r="Q14" i="26" s="1"/>
  <c r="O17" i="26"/>
  <c r="AB660" i="28"/>
  <c r="S212" i="28"/>
  <c r="AA211" i="28"/>
  <c r="P16" i="27"/>
  <c r="P270" i="21"/>
  <c r="P272" i="21" s="1"/>
  <c r="O15" i="28"/>
  <c r="Z16" i="28"/>
  <c r="R17" i="27"/>
  <c r="P132" i="26"/>
  <c r="P14" i="26" s="1"/>
  <c r="R160" i="28"/>
  <c r="Q17" i="27"/>
  <c r="Q17" i="26"/>
  <c r="P15" i="28"/>
  <c r="L251" i="21"/>
  <c r="T379" i="27"/>
  <c r="Q372" i="27"/>
  <c r="T373" i="27" s="1"/>
  <c r="AA159" i="28"/>
  <c r="S160" i="28"/>
  <c r="T212" i="28"/>
  <c r="AB211" i="28"/>
  <c r="P15" i="27"/>
  <c r="S17" i="27" s="1"/>
  <c r="M257" i="20"/>
  <c r="O146" i="27"/>
  <c r="O16" i="27" s="1"/>
  <c r="O14" i="27" s="1"/>
  <c r="R16" i="27" s="1"/>
  <c r="O200" i="27"/>
  <c r="Z363" i="28"/>
  <c r="R364" i="28"/>
  <c r="Q132" i="26"/>
  <c r="O15" i="26"/>
  <c r="G18" i="15"/>
  <c r="G36" i="15"/>
  <c r="AA247" i="28"/>
  <c r="S248" i="28"/>
  <c r="R248" i="28"/>
  <c r="Z247" i="28"/>
  <c r="S202" i="27"/>
  <c r="P144" i="27"/>
  <c r="S145" i="27" s="1"/>
  <c r="E18" i="23"/>
  <c r="O16" i="26"/>
  <c r="M170" i="20"/>
  <c r="G31" i="23"/>
  <c r="G18" i="23"/>
  <c r="Q14" i="27"/>
  <c r="T16" i="27" s="1"/>
  <c r="Q749" i="27"/>
  <c r="Q751" i="27" s="1"/>
  <c r="AB364" i="28"/>
  <c r="Q363" i="28"/>
  <c r="T552" i="28"/>
  <c r="AB551" i="28"/>
  <c r="U270" i="21"/>
  <c r="R661" i="28"/>
  <c r="Z660" i="28"/>
  <c r="Z551" i="28"/>
  <c r="R552" i="28"/>
  <c r="Q159" i="28"/>
  <c r="Q16" i="28"/>
  <c r="P749" i="27"/>
  <c r="P751" i="27" s="1"/>
  <c r="S428" i="28"/>
  <c r="AA427" i="28"/>
  <c r="S661" i="28"/>
  <c r="AA660" i="28"/>
  <c r="AB19" i="28"/>
  <c r="T20" i="28"/>
  <c r="E16" i="15"/>
  <c r="F12" i="10" s="1"/>
  <c r="AA363" i="28" l="1"/>
  <c r="Q705" i="26"/>
  <c r="Q707" i="26" s="1"/>
  <c r="O705" i="26"/>
  <c r="O707" i="26" s="1"/>
  <c r="P705" i="26"/>
  <c r="P707" i="26" s="1"/>
  <c r="R202" i="27"/>
  <c r="O144" i="27"/>
  <c r="D14" i="10"/>
  <c r="D16" i="10" s="1"/>
  <c r="G16" i="15"/>
  <c r="F14" i="10" s="1"/>
  <c r="F16" i="10" s="1"/>
  <c r="D14" i="24"/>
  <c r="G16" i="23"/>
  <c r="F14" i="24" s="1"/>
  <c r="P14" i="27"/>
  <c r="S16" i="27" s="1"/>
  <c r="AA15" i="28"/>
  <c r="S16" i="28"/>
  <c r="D12" i="24"/>
  <c r="E16" i="23"/>
  <c r="F12" i="24" s="1"/>
  <c r="R16" i="28"/>
  <c r="Z15" i="28"/>
  <c r="T364" i="28"/>
  <c r="AB363" i="28"/>
  <c r="Q15" i="28"/>
  <c r="AB16" i="28"/>
  <c r="T160" i="28"/>
  <c r="AB159" i="28"/>
  <c r="D15" i="24" l="1"/>
  <c r="F15" i="24"/>
  <c r="O749" i="27"/>
  <c r="O751" i="27" s="1"/>
  <c r="R146" i="27"/>
  <c r="R145" i="27"/>
  <c r="AB15" i="28"/>
  <c r="T16" i="2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Бачинская Ольга Юрьевна</author>
  </authors>
  <commentList>
    <comment ref="M176" authorId="0" shapeId="0" xr:uid="{00000000-0006-0000-0900-000001000000}">
      <text>
        <r>
          <rPr>
            <b/>
            <sz val="8"/>
            <color indexed="81"/>
            <rFont val="Tahoma"/>
            <family val="2"/>
            <charset val="204"/>
          </rPr>
          <t>Бачинская Ольга Юрьевна:</t>
        </r>
        <r>
          <rPr>
            <sz val="8"/>
            <color indexed="81"/>
            <rFont val="Tahoma"/>
            <family val="2"/>
            <charset val="204"/>
          </rPr>
          <t xml:space="preserve">
мероприятия без денег убрать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Бачинская Ольга Юрьевна</author>
  </authors>
  <commentList>
    <comment ref="L169" authorId="0" shapeId="0" xr:uid="{00000000-0006-0000-0A00-000001000000}">
      <text>
        <r>
          <rPr>
            <b/>
            <sz val="8"/>
            <color indexed="81"/>
            <rFont val="Tahoma"/>
            <family val="2"/>
            <charset val="204"/>
          </rPr>
          <t>Бачинская Ольга Юрьевна:</t>
        </r>
        <r>
          <rPr>
            <sz val="8"/>
            <color indexed="81"/>
            <rFont val="Tahoma"/>
            <family val="2"/>
            <charset val="204"/>
          </rPr>
          <t xml:space="preserve">
мероприятия без денег убрать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Анашкина</author>
  </authors>
  <commentList>
    <comment ref="O678" authorId="0" shapeId="0" xr:uid="{00000000-0006-0000-0E00-000001000000}">
      <text>
        <r>
          <rPr>
            <b/>
            <sz val="9"/>
            <color indexed="81"/>
            <rFont val="Tahoma"/>
            <family val="2"/>
            <charset val="204"/>
          </rPr>
          <t>Анашкина:</t>
        </r>
        <r>
          <rPr>
            <sz val="9"/>
            <color indexed="81"/>
            <rFont val="Tahoma"/>
            <family val="2"/>
            <charset val="204"/>
          </rPr>
          <t xml:space="preserve">
10320275,00было
средняя от Рыбалкиной Е 13873209,33 +20% = 166647851,19</t>
        </r>
      </text>
    </comment>
  </commentList>
</comments>
</file>

<file path=xl/sharedStrings.xml><?xml version="1.0" encoding="utf-8"?>
<sst xmlns="http://schemas.openxmlformats.org/spreadsheetml/2006/main" count="14463" uniqueCount="1313">
  <si>
    <t>Учреждение 1</t>
  </si>
  <si>
    <t>…</t>
  </si>
  <si>
    <t>Учреждение 2</t>
  </si>
  <si>
    <t>№ основного мероприятия программы</t>
  </si>
  <si>
    <t>Код направления расходов</t>
  </si>
  <si>
    <t>ххххх</t>
  </si>
  <si>
    <t>Цель предоставления субсидии/Планируемый результат закупки товаров, выполнения работ, оказания услуг</t>
  </si>
  <si>
    <t>Мероприятие 1</t>
  </si>
  <si>
    <t>Мероприятие 2</t>
  </si>
  <si>
    <t>Мероприятие v</t>
  </si>
  <si>
    <t>Основное мероприятие/Направление расходов/Мероприятие или Учреждение - получатель субсидии</t>
  </si>
  <si>
    <t>Учреждение  v</t>
  </si>
  <si>
    <t>Сума финансового обеспечения по годам реализации, руб.</t>
  </si>
  <si>
    <t>Х</t>
  </si>
  <si>
    <t>n</t>
  </si>
  <si>
    <t>(n+1)</t>
  </si>
  <si>
    <t>(n+2)</t>
  </si>
  <si>
    <t>Показатель выполнения мероприятия</t>
  </si>
  <si>
    <t>Наименование показателя</t>
  </si>
  <si>
    <t>ед. изм.</t>
  </si>
  <si>
    <t>плановое значение</t>
  </si>
  <si>
    <t>M</t>
  </si>
  <si>
    <t>Наименование  основного мероприятия  R</t>
  </si>
  <si>
    <t>M.N</t>
  </si>
  <si>
    <t>Наименование направления расходов N</t>
  </si>
  <si>
    <t>M.N.1</t>
  </si>
  <si>
    <t>M.N.2</t>
  </si>
  <si>
    <t>M.N.v</t>
  </si>
  <si>
    <t>M.(N+1)</t>
  </si>
  <si>
    <t>Наименование направления расходов (N+1)</t>
  </si>
  <si>
    <t>M.(N+1).1</t>
  </si>
  <si>
    <t>M.(N+1).2</t>
  </si>
  <si>
    <t>M.(N+1).v</t>
  </si>
  <si>
    <t>(M+1)</t>
  </si>
  <si>
    <t>Наименование основного мероприятия (N+1)</t>
  </si>
  <si>
    <t>….</t>
  </si>
  <si>
    <t>……</t>
  </si>
  <si>
    <t>Финансовое обеспечение в текущем финансовом году, руб.</t>
  </si>
  <si>
    <t>плановое значение на 01.01.n</t>
  </si>
  <si>
    <t>изменения за отчетный период</t>
  </si>
  <si>
    <t>плановое значение на конец отчетного периода</t>
  </si>
  <si>
    <t>фактическое значение на конец отчетного периода</t>
  </si>
  <si>
    <t>изменения за отчетный период (+/ -)</t>
  </si>
  <si>
    <t>кассове расходы на конец отчетного периода</t>
  </si>
  <si>
    <t>Кассовые расходы МАУ /МБУ</t>
  </si>
  <si>
    <t xml:space="preserve">Пояснения </t>
  </si>
  <si>
    <t>Всего на плановый период</t>
  </si>
  <si>
    <t>(n-1)</t>
  </si>
  <si>
    <t>Код основного мероприятия</t>
  </si>
  <si>
    <t>КВР</t>
  </si>
  <si>
    <t>Исполнитель мероприятия</t>
  </si>
  <si>
    <t>Код по СР</t>
  </si>
  <si>
    <t>Краткое наименование по СР</t>
  </si>
  <si>
    <t xml:space="preserve">Основное мероприятие/Направление расходов/Мероприятие </t>
  </si>
  <si>
    <t>М</t>
  </si>
  <si>
    <t>N</t>
  </si>
  <si>
    <t>Наименование  основного мероприятия  М</t>
  </si>
  <si>
    <t>Наименование основного мероприятия (М+1)</t>
  </si>
  <si>
    <t>Срок реализации</t>
  </si>
  <si>
    <t>N+1</t>
  </si>
  <si>
    <t xml:space="preserve">M – порядковый номер основного мероприятия принимает значения начиная с «01» до «99» по количеству основных мероприятий муниципальной программы и соответствует 4-5 разряду кода целевой статьи расходов (КЦСР), указанных в доведенных до ответственного исполнителя (ответственного соисполнителя) муниципальной программы лимитах бюджетных обязательств.
N - порядковый номер направления расходов принимает значения равное  коду дополнительной классификации расходов (ДопКР), указанному в доведенных до ответственного исполнителя (ответственного соисполнителя) муниципальной программы лимитах бюджетных обязательств. Код по СР - код исполнителя мероприятия по сводному реестру участников бюджетного процесса. При заполнении графы 5 краткое наименование исполнителя мероприятия указываетс в строгом соответствии с наименованием в сводном реестре участников бюджетного процесса. При заполнении графы 10 срок реализации указывается в формате "месяц.год"). Графа 11 заполняется с учетом следующих особенностей: - при наличии по состоянию на 1 января текщего года остатков целевых субсидий или субсидий на капитальные вложения на лицевых счетах исполнителей мероприятий (муниципальных предприятий, муниципальных автономных и бюджетных учреждений) при внесении изменений в утвержденный план в графе 11 указываются остатки средств субсидий, потребность в которых подтверждена; - при реализации объектов капитального строительства в графе 11 указываются  кассовые расходы исполнителя мероприятия (получателя бюджетных средств) за все годы, предшествующие планируемому, с начала реализации объекта.
Графы 14 и 15  заполняются в случае, если завершение реализации мероприятия предполагается за пределами текущего финансового года, либо планируется заключение долгосрочного муниципального контракта (договора). </t>
  </si>
  <si>
    <t xml:space="preserve">Обеспечение предоставления доступного, качественного дошкольного образования
</t>
  </si>
  <si>
    <t>Расходы на обеспечение деятельности (оказание услуг) муниципальных учреждений учреждений</t>
  </si>
  <si>
    <t>01</t>
  </si>
  <si>
    <t>02</t>
  </si>
  <si>
    <t>1201</t>
  </si>
  <si>
    <t>1202</t>
  </si>
  <si>
    <t>1203</t>
  </si>
  <si>
    <t>804</t>
  </si>
  <si>
    <t>11111</t>
  </si>
  <si>
    <t>МАДОУ 1</t>
  </si>
  <si>
    <t>Капитальный ремонт кровли</t>
  </si>
  <si>
    <t>Выполнение муниципального задания</t>
  </si>
  <si>
    <t>кол-во воспитаников</t>
  </si>
  <si>
    <t>чел.</t>
  </si>
  <si>
    <t>11112</t>
  </si>
  <si>
    <t>МАДОУ 2</t>
  </si>
  <si>
    <t>Субсидии в целях осуществления мероприятий по содержанию муниципального имущества</t>
  </si>
  <si>
    <t>ремонт санузлов</t>
  </si>
  <si>
    <t>усл.ед.</t>
  </si>
  <si>
    <t>Региональный проект "Содействие занятости женщин - создание условий дошкольного образования для детей в возрасте до трех лет"</t>
  </si>
  <si>
    <t>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</si>
  <si>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Строительство нового корпуса МАДОУ 5</t>
  </si>
  <si>
    <t>МАДОУ 5</t>
  </si>
  <si>
    <t>количество мест</t>
  </si>
  <si>
    <t>шт.</t>
  </si>
  <si>
    <t>164</t>
  </si>
  <si>
    <t>111222</t>
  </si>
  <si>
    <t>МКУ "УКС"</t>
  </si>
  <si>
    <t>Строительство детского сада по ул. Ххх</t>
  </si>
  <si>
    <t>Плановый срок реализации</t>
  </si>
  <si>
    <t xml:space="preserve"> на конец отчетного периода</t>
  </si>
  <si>
    <t>По плану на текущий год исполнения</t>
  </si>
  <si>
    <t>Расходы за отчетный период</t>
  </si>
  <si>
    <t>Наименование программы</t>
  </si>
  <si>
    <t>Ответственный исполнитель муниципальной программы</t>
  </si>
  <si>
    <t>Сроки реализации программы</t>
  </si>
  <si>
    <t>Перечень подпрограмм (ведомственных целевых программ)</t>
  </si>
  <si>
    <t>Соисполнители муниципальной программы</t>
  </si>
  <si>
    <t>Цели программы</t>
  </si>
  <si>
    <t>Задачи программы</t>
  </si>
  <si>
    <t>Объемы и источники финансирования мероприятий программы</t>
  </si>
  <si>
    <t>Ожидаемые конечные результаты реализации программы (подпрограмм) и целевых показателей</t>
  </si>
  <si>
    <t>Паспорт муниципальной программы</t>
  </si>
  <si>
    <t>Наименование подпрограммы</t>
  </si>
  <si>
    <t>Наименование муниципальной программы</t>
  </si>
  <si>
    <t>Исполнитель подпрограммы</t>
  </si>
  <si>
    <t>Сроки реализации подпрограммы</t>
  </si>
  <si>
    <t>Цели подпрограммы</t>
  </si>
  <si>
    <t>Задачи подпрограммы</t>
  </si>
  <si>
    <t>Ожидаемые конечные результаты реализации подпрограммы и целевых показателей</t>
  </si>
  <si>
    <t>Паспорт подпрограммы муниципальной программы</t>
  </si>
  <si>
    <t>Наименование задачи, целевого показателя,  основного мероприятия</t>
  </si>
  <si>
    <t>Наименование показателя основного мероприятия</t>
  </si>
  <si>
    <t xml:space="preserve">Базовое значение </t>
  </si>
  <si>
    <t>(n) год</t>
  </si>
  <si>
    <t>х</t>
  </si>
  <si>
    <t>Целевой показатель z.C</t>
  </si>
  <si>
    <t>Основное мероприятие M</t>
  </si>
  <si>
    <t>Единица измерения</t>
  </si>
  <si>
    <t>Целевое значение</t>
  </si>
  <si>
    <t>Наименование основного мероприятия</t>
  </si>
  <si>
    <t>Всего</t>
  </si>
  <si>
    <t>ОБ</t>
  </si>
  <si>
    <t>МБ</t>
  </si>
  <si>
    <t>КВАРТАЛЬНЫЙ ОТЧЕТ</t>
  </si>
  <si>
    <t>о выполнении мероприятий муниципальной программы</t>
  </si>
  <si>
    <t>изменение плана</t>
  </si>
  <si>
    <t>ОТЧЕТ</t>
  </si>
  <si>
    <t>Объем средств, выделяемых из бюджета городского округа «Город Калининград», подлежит ежегодному уточнению при утверждении городского бюджета на соответствующий год</t>
  </si>
  <si>
    <t>Год</t>
  </si>
  <si>
    <t>Итого</t>
  </si>
  <si>
    <t>Общий объем финансирования Программы составляет ____________  тыс. руб., в том числе:</t>
  </si>
  <si>
    <t>Бюджет городского округа «Город Калининград», тыс. руб.</t>
  </si>
  <si>
    <t>Областной бюджет, тыс. руб.</t>
  </si>
  <si>
    <t>Прочие поступления, тыс. руб.</t>
  </si>
  <si>
    <t>Всего, тыс. руб.</t>
  </si>
  <si>
    <t>Ответственный исполнитель / Соисполнитель</t>
  </si>
  <si>
    <t>СИСТЕМА ОСНОВНЫХ МЕРОПРИЯТИЙ</t>
  </si>
  <si>
    <t>муниципальной программы</t>
  </si>
  <si>
    <t>Номер основного мероприятия</t>
  </si>
  <si>
    <t>Источники финансирования</t>
  </si>
  <si>
    <t>Объемы финансового обеспечения, тыс. руб.</t>
  </si>
  <si>
    <t>Предыдущие годы реализации</t>
  </si>
  <si>
    <t>Общий объем  финансового обеспечения выполнения основных  мероприятий программы</t>
  </si>
  <si>
    <t>ФИНАНСОВОЕ ОБЕСПЕЧЕНИЕ</t>
  </si>
  <si>
    <t>выполнения основных  мероприятий муниципальной программы</t>
  </si>
  <si>
    <t>КВСР</t>
  </si>
  <si>
    <t>Ед. изм.</t>
  </si>
  <si>
    <t xml:space="preserve">Основное мероприятие / направление расходов / мероприятие </t>
  </si>
  <si>
    <t>Плановое значение</t>
  </si>
  <si>
    <t>Код   основного мероприятия</t>
  </si>
  <si>
    <t>План реализации</t>
  </si>
  <si>
    <t>Финансовое обеспечение, тыс. руб.</t>
  </si>
  <si>
    <t>на 01.01.n</t>
  </si>
  <si>
    <t>на конец отчетного периода</t>
  </si>
  <si>
    <t xml:space="preserve">по первоначальному плану </t>
  </si>
  <si>
    <t>по состоянию на конец отчетного периода</t>
  </si>
  <si>
    <t>подтвержденные остатки на 01.01.n</t>
  </si>
  <si>
    <t>фактические расходы</t>
  </si>
  <si>
    <t>касссовые расходы ПБС</t>
  </si>
  <si>
    <t>за ______квартал _____года</t>
  </si>
  <si>
    <t>(нарастающим итогом)</t>
  </si>
  <si>
    <t>план</t>
  </si>
  <si>
    <t>факт</t>
  </si>
  <si>
    <t>Z</t>
  </si>
  <si>
    <t>Задача Z.</t>
  </si>
  <si>
    <t>Целевой показатель Z.1</t>
  </si>
  <si>
    <t>Целевой показатель Z.2</t>
  </si>
  <si>
    <t>Номер задачи / основного мероприятия</t>
  </si>
  <si>
    <t>ГОДОВОЙ ОТЧЕТ</t>
  </si>
  <si>
    <t>о выполнении муниципальной программы и достижении установленных показателей</t>
  </si>
  <si>
    <t>03</t>
  </si>
  <si>
    <t>04</t>
  </si>
  <si>
    <t>05</t>
  </si>
  <si>
    <t>Обеспечение предоставления дополнительного образования детям в образовательных организациях спортивной направленности</t>
  </si>
  <si>
    <t xml:space="preserve">Осуществление спортивной подготовки по олимпийским видам спорта </t>
  </si>
  <si>
    <t xml:space="preserve">Организация досуговой деятельности интеллектуальной, творческой и спортивной направленности, по экстремальным видам спорта и молодежным субкультурам </t>
  </si>
  <si>
    <t>Ответственный исполнитель муниципальной программы - комитет по социальной политике</t>
  </si>
  <si>
    <t>Соисполнитель муниципальной программы - комитет по образованию</t>
  </si>
  <si>
    <t>Доля жителей, систематически занимающихся физической культурой и спортом, в общей численности населения в возрасте от 3 до 79 лет</t>
  </si>
  <si>
    <t>Эффективность использования существующих объектов спорта</t>
  </si>
  <si>
    <t>Доля молодых людей, участвующих в социально значимых мероприятиях и программах, от общего числа молодежи</t>
  </si>
  <si>
    <t>1.1</t>
  </si>
  <si>
    <t>1.2</t>
  </si>
  <si>
    <t>1.3</t>
  </si>
  <si>
    <t>1.4</t>
  </si>
  <si>
    <t xml:space="preserve">Число лиц, прошедших спортивную подготовку </t>
  </si>
  <si>
    <t xml:space="preserve">Организация досуговой деятельности интеллектуальной, творческой и спортивной направленности, по экстремальным видам спорта и молодежным субкультурам   </t>
  </si>
  <si>
    <t>2.</t>
  </si>
  <si>
    <t>Количество учреждений</t>
  </si>
  <si>
    <t>Человек</t>
  </si>
  <si>
    <t>КпСП</t>
  </si>
  <si>
    <t>Единица</t>
  </si>
  <si>
    <t>2.1</t>
  </si>
  <si>
    <t>2.2</t>
  </si>
  <si>
    <t>2.3</t>
  </si>
  <si>
    <t>2.4</t>
  </si>
  <si>
    <t>2.5</t>
  </si>
  <si>
    <t>-</t>
  </si>
  <si>
    <t>МАУ «Дворец спорта «Юность»</t>
  </si>
  <si>
    <t>МБУ ДО ДЮСШ № 13 по кикбоксингу и рукопашному бою</t>
  </si>
  <si>
    <t>МБУ ДО ДЮСШ  восточных единоборств</t>
  </si>
  <si>
    <t>МБУ ДО ДЮСШ по водным видам спорта «Морская школа»</t>
  </si>
  <si>
    <t>МАУ ДО ДЮСШ  № 7 по теннису и настольному теннису</t>
  </si>
  <si>
    <t>1.5</t>
  </si>
  <si>
    <t>1.6</t>
  </si>
  <si>
    <t>МАУ СШ № 12 по боксу</t>
  </si>
  <si>
    <t>1.7</t>
  </si>
  <si>
    <t>1.8</t>
  </si>
  <si>
    <t>Развитие молодежной сферы, физической культуры, спорта и дополнительного образования спортивной направленности в городском округе «Город Калининград»</t>
  </si>
  <si>
    <t>Подпрограммы (ведомственные целевые программы) не предусмотрены</t>
  </si>
  <si>
    <t>Комитет по социальной политике (КпСП)</t>
  </si>
  <si>
    <t>Доля спортсменов и тренеров-преподавателей, получивших материальное поощрение за достижение высоких спортивных результатов</t>
  </si>
  <si>
    <t>Доля учащихся муниципальных учреждений спорта, студентов и курсантов учреждений высшего и среднего профессионального образования, получающих стипендии главы городского округа «Город Калининград» и городского Совета депутатов Калининграда</t>
  </si>
  <si>
    <t>Доля муниципальных грантов на реализацию социальных проектов в сфере молодежной политики</t>
  </si>
  <si>
    <t>Количество предостав-ленных грантов в сфере физической культуры и спорта</t>
  </si>
  <si>
    <t>Количество выплат тренерам-преподавателям за высокие достижения</t>
  </si>
  <si>
    <t>Количество выплат спортсменам за достижение высоких спортивных результатов</t>
  </si>
  <si>
    <t>Количество учащихся, получающих стипендии главы городского округа «Город Калининград» и городского Совета депутатов Калининграда за достижение высоких результатов в спортивной деятельности</t>
  </si>
  <si>
    <t>Количество разработанной проектной и рабочей документации</t>
  </si>
  <si>
    <t>Количество участников/ зрителей городских мероприятий</t>
  </si>
  <si>
    <t>6194/64519</t>
  </si>
  <si>
    <t>2.6</t>
  </si>
  <si>
    <t>2.7</t>
  </si>
  <si>
    <t>Доля подведомственных учреждений молодежной сферы, отвечающих требованиям комплексной безопасности</t>
  </si>
  <si>
    <t xml:space="preserve">Доля подведомственных учреждений молодежной сферы осуществивших совершенствование материально-технической базы </t>
  </si>
  <si>
    <t>2830/919450</t>
  </si>
  <si>
    <t>муниципальной программы «Развитие молодежной сферы, физической культуры, спорта и дополнительного образования спортивной направленности в городском округе «Город Калининград»» на 2021 год и плановый период 2022-2023гг.</t>
  </si>
  <si>
    <t>Объем средств, выделяемых из бюджета городского округа «Город Калининград», подлежит ежегодному уточнению при утверждении городского бюджета на соответствующий год.</t>
  </si>
  <si>
    <t xml:space="preserve">Количество городских мероприятий </t>
  </si>
  <si>
    <t>Количество участников городских мероприятий</t>
  </si>
  <si>
    <t xml:space="preserve">Количество спортивных мероприятий </t>
  </si>
  <si>
    <t>Количество посещающих объект спорта</t>
  </si>
  <si>
    <t xml:space="preserve">Количество мероприятий </t>
  </si>
  <si>
    <t>4 квартал</t>
  </si>
  <si>
    <t>Субсидии в целях подготовки и проведения мероприятий, торжественных церемоний, общегородских мероприятий и фестивалей, олимпиад, смотров, конкурсов</t>
  </si>
  <si>
    <t>Капитальные вложения в объекты муниципальной собственности в целях  разработки проектной и рабочей документации</t>
  </si>
  <si>
    <t>2 квартал</t>
  </si>
  <si>
    <t>%</t>
  </si>
  <si>
    <t>Ед.</t>
  </si>
  <si>
    <t>Чел.</t>
  </si>
  <si>
    <t>Чел./Ед.</t>
  </si>
  <si>
    <t>Чел.-час.</t>
  </si>
  <si>
    <t>Чел./час.</t>
  </si>
  <si>
    <t>КпСП/КТРиС</t>
  </si>
  <si>
    <t>КпСП/КпО</t>
  </si>
  <si>
    <t>Повышение мотивации граждан к регулярным занятиям физической культурой и спортом и ведению здорового образа жизни жителей города Калининграда</t>
  </si>
  <si>
    <t xml:space="preserve">Обеспечение условий для развития на территории  городского округа физической культуры, школьного спорта и массового спорта, организация проведения официальных физкультурно-оздоровительных и спортивных мероприятий
Создание условий для самореализации молодежи города Калининграда
</t>
  </si>
  <si>
    <t>Доля детей и молодежи в возрасте от 3 до 29 лет, систематически занимающихся физической культурой и спортом, в общей численности детей и молодежи</t>
  </si>
  <si>
    <t>Доля граждан среднего возраста (женщин от 30 до 54 лет, мужчин от 30 до 59 лет), систематически занимающихся физической культурой и спортом, в общей численности граждан среднего возраста</t>
  </si>
  <si>
    <t>Доля граждан старшего возраста (женщин от 55 до 79 лет, мужчин от 60 до 79 лет), систематически занимающихся физической культурой и спортом, в общей численности граждан старшего возраста</t>
  </si>
  <si>
    <t>Доля граждан в возрасте от 6 до 15 лет, занимающихся в спортивных организациях, в общей численности детей и молодежи</t>
  </si>
  <si>
    <t>Уровень обеспеченности граждан спортивными сооружениями исходя из единовременной пропускной способности объектов спорта, от необходимой единовременной пропускной способности подведомственных учреждений</t>
  </si>
  <si>
    <t>Количество учреждений, отвечающих требованиям комплексной безопасности</t>
  </si>
  <si>
    <t xml:space="preserve">Количество учреждений, осуществивших совершенство-вание материально-технической базы </t>
  </si>
  <si>
    <t>Количество молодых людей, принимающих участие в досуговых мероприятиях</t>
  </si>
  <si>
    <t xml:space="preserve">Количество участников ОПД/ количество рабочих мест </t>
  </si>
  <si>
    <t>Количество студентов и курсантов, получающих стипендии главы городского округа «Город Калининград» и городского Совета депутатов Калининграда за достижения в социально значимой и общественной деятельности</t>
  </si>
  <si>
    <t>Количество предостав-ленных грантов в молодежной сфере</t>
  </si>
  <si>
    <t>Торжественное чествование и награждение спортивного актива, приуроченного к празднованию «Дня физкультурника»</t>
  </si>
  <si>
    <t>Гостиничные услуги для участников международных спортивных соревнований по гребным видам спорта «Прегельская регата»</t>
  </si>
  <si>
    <t xml:space="preserve">Услуги по организации и проведению муниципальных этапов Всероссийских соревнований среди детей и молодежи от 7 до 18 лет в формате онлайн/офлайн </t>
  </si>
  <si>
    <t>1</t>
  </si>
  <si>
    <t>357</t>
  </si>
  <si>
    <t>725,5</t>
  </si>
  <si>
    <t>1162,0</t>
  </si>
  <si>
    <t>328,5</t>
  </si>
  <si>
    <t>40</t>
  </si>
  <si>
    <t>100,14</t>
  </si>
  <si>
    <t>50</t>
  </si>
  <si>
    <t>486</t>
  </si>
  <si>
    <t>80</t>
  </si>
  <si>
    <t>580,6</t>
  </si>
  <si>
    <t>Услуги по организации и проведению церемонии награждения по итогам спортивного года «За физическое и нравственное здоровье нации»</t>
  </si>
  <si>
    <t>20</t>
  </si>
  <si>
    <t>100</t>
  </si>
  <si>
    <t>972</t>
  </si>
  <si>
    <t>МАУ «Дворец спорта «Юность». Ремонт электрощитовых, электромонтажные работы</t>
  </si>
  <si>
    <t>МАУ «Дворец спорта «Юность». Капитальный ремонт фасада бассейна, внутреннего противопожарного водопровода</t>
  </si>
  <si>
    <t xml:space="preserve">Субсидии в целях приобретения нефинансовых активов        </t>
  </si>
  <si>
    <t>Приобретение оборудования (компьютер в сборе) для МБУДО ДЮСШ  № 7 по теннису и настольному теннису</t>
  </si>
  <si>
    <t xml:space="preserve">Приобретение спортивного и компьютерного оборудования и инвентаря для МБУ ДО ДЮСШ № 13 по кикбоксингу и рукопашному бою </t>
  </si>
  <si>
    <t xml:space="preserve">Приобретение спортивного оборудования для МБУ ДО ДЮСШ по водным видам спорта «Морская школа» </t>
  </si>
  <si>
    <t xml:space="preserve">Организация досуговой деятельности интеллектуальной, творческой и спортивной направленности, по экстремальным видам спорта и молодежным субкультурам          </t>
  </si>
  <si>
    <t>273J0056</t>
  </si>
  <si>
    <t xml:space="preserve">Спортивная подготовка по олимпийским видам спорта </t>
  </si>
  <si>
    <t xml:space="preserve">Организация и проведение официальных физкультурных (физкультурно- оздоровительных) мероприятий </t>
  </si>
  <si>
    <t>273J0248</t>
  </si>
  <si>
    <t>У2409</t>
  </si>
  <si>
    <t>Субсидии в целях организации общественно-полезной деятельности несовершеннолетних граждан в возрасте от 14 до 18 лет, проживающих на территории городского округа «Город Калининград»</t>
  </si>
  <si>
    <t>У2200</t>
  </si>
  <si>
    <t>Ремонт детских игровых и спортивных площадок (в текущий ремонт и замена оборудования)</t>
  </si>
  <si>
    <t xml:space="preserve">Ремонт молодежных и спортивных клубов </t>
  </si>
  <si>
    <t>Устройство ограждения для скейт-велопарка (Московский пр-кт (пространство под 2-й эстакадой)</t>
  </si>
  <si>
    <t>У2300</t>
  </si>
  <si>
    <t>Оснащение помещений нового здания по ул. Карамзина</t>
  </si>
  <si>
    <t>Поощрение спортсменов и тренеров-преподавателей за достижение высоких спортивных результатов</t>
  </si>
  <si>
    <t>Адресная поддержка одаренных детей и молодежи</t>
  </si>
  <si>
    <t>Организация и проведение городской акции «День памяти и скорби»</t>
  </si>
  <si>
    <t>50/300</t>
  </si>
  <si>
    <t>Организация и проведение патриотических акций «Мы - граждане России!»</t>
  </si>
  <si>
    <t>260/1000</t>
  </si>
  <si>
    <t>Организация и проведение патриотической акции «Георгиевская ленточка»</t>
  </si>
  <si>
    <t>150/2000</t>
  </si>
  <si>
    <t>Организация и проведение встреч молодежи города Калининграда с гражданами, проходящими военную службу</t>
  </si>
  <si>
    <t>90/200</t>
  </si>
  <si>
    <t>Организация и проведение молодежной акции ко Дню Государственного флага РФ</t>
  </si>
  <si>
    <t>80/1000</t>
  </si>
  <si>
    <t>Организация и проведение проекта «Любимый Калининград»</t>
  </si>
  <si>
    <t>220/5885</t>
  </si>
  <si>
    <t>Организация и проведение молодежной акции ко Дню штурма Кенигсберга</t>
  </si>
  <si>
    <t>250/1000</t>
  </si>
  <si>
    <t>Организация и проведение молодежной акции «Я люблю Калининград»</t>
  </si>
  <si>
    <t>184/2000</t>
  </si>
  <si>
    <t>Организация и проведение городского конкурса юных инспекторов движения «Безопасное колесо»</t>
  </si>
  <si>
    <t>80/900</t>
  </si>
  <si>
    <t>Организация и проведение городских молодежных акций, направленных на предупреждение асоциальных явлений в молодежной среде</t>
  </si>
  <si>
    <t>210/2000</t>
  </si>
  <si>
    <t>Организация и проведение акции «Моя семья» по поддержке несовершеннолетних и семей, оказавшихся в трудной жизненной ситуации</t>
  </si>
  <si>
    <t>70/170</t>
  </si>
  <si>
    <t>Организация и проведение городской акции «Молодежь против коррупции»</t>
  </si>
  <si>
    <t>150/0</t>
  </si>
  <si>
    <t>Организация и проведение проекта «Молодой Калининград»</t>
  </si>
  <si>
    <t>260/6000</t>
  </si>
  <si>
    <t>Организация и проведение проекта «Творческий Калининград»</t>
  </si>
  <si>
    <t>490/10904</t>
  </si>
  <si>
    <t>Организация и проведение молодежного фестиваля «Интеллектуальная Прибалтика»</t>
  </si>
  <si>
    <t>90/0</t>
  </si>
  <si>
    <t>Организация и проведение фестиваля интеллектуальных игр «Янтарная сова»</t>
  </si>
  <si>
    <t>230/0</t>
  </si>
  <si>
    <t>Организация и проведение игр и школы КВН «Золотой осьминог»</t>
  </si>
  <si>
    <t>50/800</t>
  </si>
  <si>
    <t>Организация и проведение городской информационной акции «Молодое поколение»</t>
  </si>
  <si>
    <t>240/7330</t>
  </si>
  <si>
    <t>Организация и проведение молодежного музыкального фестиваля</t>
  </si>
  <si>
    <t>25/1800</t>
  </si>
  <si>
    <t>Организация и проведение этапов чемпионата «Школьный брейн»</t>
  </si>
  <si>
    <t>800/0</t>
  </si>
  <si>
    <t>Организация и проведение открытого городского молодежного творческого конкурса «Ветер Балтики»</t>
  </si>
  <si>
    <t>110/1550</t>
  </si>
  <si>
    <t>Организация и проведение проекта «Добрый Калининград»</t>
  </si>
  <si>
    <t>560/9600</t>
  </si>
  <si>
    <t>Организация и проведение мероприятий, направленных на развитие школьного и студенческого самоуправлений в г. Калининграде</t>
  </si>
  <si>
    <t>405/0</t>
  </si>
  <si>
    <t>Реализация проекта «Рождены для движения»</t>
  </si>
  <si>
    <t>500/3000</t>
  </si>
  <si>
    <t>Организация и проведение молодежного проекта «Мастерская предпринимательства»</t>
  </si>
  <si>
    <t>200/350</t>
  </si>
  <si>
    <t xml:space="preserve">Организация и проведение молодежного проекта «ProКарьера»   </t>
  </si>
  <si>
    <t>180/630</t>
  </si>
  <si>
    <t>Организация и проведение фестиваля «Экстрим контест»</t>
  </si>
  <si>
    <t>100/2100</t>
  </si>
  <si>
    <t>Организация и проведение молодежной акции «На работу на велосипеде»</t>
  </si>
  <si>
    <t>50/2000</t>
  </si>
  <si>
    <t>Организация и проведение молодежной акции «Здоровая нация»</t>
  </si>
  <si>
    <t>110/2000</t>
  </si>
  <si>
    <t>Организация мероприятий в сфере молодежной политики, направленных на вовлечение молодежи в инновационную предпринимательскую, добровольческую деятельность, а также на развитие гражданской активности молодежи и формирование здорового образа жизни</t>
  </si>
  <si>
    <t>Организация мероприятий, направленных на профилактику асоциального и деструктивного поведения подростков и молодежи, поддержка детей и молодежи, находящейся в социально-опасном положении</t>
  </si>
  <si>
    <t>Организация мероприятий в сфере молодежной политики, направленных на формирование системы развития талантливой и инициативной молодежи, создание условий для самореализации подростков и молодежи, развитие творческого, профессионального, нтеллектуального потенциалов подростков и молодежи</t>
  </si>
  <si>
    <t>Организация мероприятий в сфере молодежной политики, направленных на гражданское и патриотическое воспитание молодежи, воспитание толерантности в молодежной среде, формирование правовых, культурных и нравственных ценностей среди молодежи</t>
  </si>
  <si>
    <t>Культурно-досуговые, спортивно-массовые мероприятия</t>
  </si>
  <si>
    <t>Июнь 2021</t>
  </si>
  <si>
    <t>Декабрь 2021</t>
  </si>
  <si>
    <t>Сентябрь 2021</t>
  </si>
  <si>
    <t>7246</t>
  </si>
  <si>
    <t>240</t>
  </si>
  <si>
    <t>3239</t>
  </si>
  <si>
    <t>1480</t>
  </si>
  <si>
    <t>2918</t>
  </si>
  <si>
    <t>Выплаты спортсменам за достижение высоких спортивных результатов</t>
  </si>
  <si>
    <t>Выплаты тренерам-преподавателям за достижение высоких спортивных результатов</t>
  </si>
  <si>
    <t>6</t>
  </si>
  <si>
    <t>3</t>
  </si>
  <si>
    <t>2</t>
  </si>
  <si>
    <t>Выявление и адресная поддержка одаренных детей – учащихся  муниципальных учреждений спорта</t>
  </si>
  <si>
    <t>Выявление и адресная поддержка одаренных, социально активных студентов и курсантов учреждений высшего и среднего профессионального образования</t>
  </si>
  <si>
    <t>Предоставление муниципальных грантов на реализацию социальных проектов в сфере физической культуры и спорта</t>
  </si>
  <si>
    <t>Предоставление муниципальных грантов на реализацию социальных проектов в сфере молодежной политики</t>
  </si>
  <si>
    <t>273J0027</t>
  </si>
  <si>
    <t>МАУ ДО ДЮСШ № 7 по теннису и настольному теннису</t>
  </si>
  <si>
    <t>Количество лиц, получивших услугу дополнительного образования</t>
  </si>
  <si>
    <t>273J0030</t>
  </si>
  <si>
    <t>МАУ ДО ДЮСШ № 8 по велоспорту</t>
  </si>
  <si>
    <t>МБУ СШ № 9 по баскетболу</t>
  </si>
  <si>
    <t>МБУ СШОР №10 по волейболу</t>
  </si>
  <si>
    <t>16</t>
  </si>
  <si>
    <t>191</t>
  </si>
  <si>
    <t>Количество ограждений</t>
  </si>
  <si>
    <t>Поставка наградной атрибутики (кубков)</t>
  </si>
  <si>
    <t>Поставка наградной атрибутики (медалей)</t>
  </si>
  <si>
    <t>Количество кубков</t>
  </si>
  <si>
    <t>Количество медалей</t>
  </si>
  <si>
    <t>Шт.</t>
  </si>
  <si>
    <t>595</t>
  </si>
  <si>
    <t>7255</t>
  </si>
  <si>
    <t>Поставка дипломов для награждения</t>
  </si>
  <si>
    <t>Количество дипломов</t>
  </si>
  <si>
    <t>8000</t>
  </si>
  <si>
    <t>Оказание услуг по организации судейства</t>
  </si>
  <si>
    <t>Усл.ед.</t>
  </si>
  <si>
    <t>1095</t>
  </si>
  <si>
    <t>Услуги медицинского сопровождения мероприятий</t>
  </si>
  <si>
    <t>Час.</t>
  </si>
  <si>
    <t>581</t>
  </si>
  <si>
    <t>МБУ СШОР 
№ 4 по легкой атлетике</t>
  </si>
  <si>
    <t>Количество тренажерных залов, медицинских кабинетов, вентиляций</t>
  </si>
  <si>
    <t>Декабрь 2020</t>
  </si>
  <si>
    <t>МБУ СШ № 2 по художественной гимнастике</t>
  </si>
  <si>
    <t>Количество спортивных залов</t>
  </si>
  <si>
    <t>Обустройство тренировочных площадок на стадионе "Пионер" в  по адресу: г.Калининград, пр.Мира,134</t>
  </si>
  <si>
    <t>МАУ СШОР №5 по футболу</t>
  </si>
  <si>
    <t>Количество тренировочных площадок</t>
  </si>
  <si>
    <t>Устройство видеонаблюдения по адресу: г.Калининград, пр.Мира,134</t>
  </si>
  <si>
    <t>Количество систем видеонаблюдения</t>
  </si>
  <si>
    <t>Капитальный ремонт помещений, ремонт чердачного перекрытия  по адресу: г.Калининград, пр.Мира,134</t>
  </si>
  <si>
    <t>Количество помещений, чердачных перекрытий</t>
  </si>
  <si>
    <t>Количество входных групп</t>
  </si>
  <si>
    <t>Капитальный ремонт входной группы  по адресу: г.Калининград, пр-кт Московский,171</t>
  </si>
  <si>
    <t>МБУ СШ №9 по баскетболу</t>
  </si>
  <si>
    <t xml:space="preserve">Разработка проектно-сметной документации на устройство системы вентиляции, устройство системы вентиляции, разработка расчета тепловых нагрузок </t>
  </si>
  <si>
    <t>Устройство наружных инженерных сетей в  по адресу: г.Калининград, ул. Радищева,81</t>
  </si>
  <si>
    <t>МАУ СШ №12 по боксу</t>
  </si>
  <si>
    <t>Количество инженерных сетей</t>
  </si>
  <si>
    <t>Капитальный ремонт здания  по адресу: г.Калининград, ул. Радищева,81</t>
  </si>
  <si>
    <t>Количество зданий</t>
  </si>
  <si>
    <t>МАУ СШОР по силовым видам спорта</t>
  </si>
  <si>
    <t xml:space="preserve">Приобретение оборудования и инвентаря </t>
  </si>
  <si>
    <t>Количество оборудования, инвентаря</t>
  </si>
  <si>
    <t xml:space="preserve"> МАУ «Дворец спорта «Юность»</t>
  </si>
  <si>
    <t xml:space="preserve">Устройство и замена ограждения </t>
  </si>
  <si>
    <t>Капитальный ремонт системы вентиляции помещения бассейна</t>
  </si>
  <si>
    <t>Количество систем вентиляции помещения бассейна</t>
  </si>
  <si>
    <t>Количество теплопунктов</t>
  </si>
  <si>
    <t>Количество пакетов документов, систем вентиляции</t>
  </si>
  <si>
    <t>Количество пакетов документов</t>
  </si>
  <si>
    <t>Количество противопожарных дверей, сараев</t>
  </si>
  <si>
    <t>Разработка проектно-сметной документации на электромонтажные работы в спортивном зале, ремонт спортивного зала, электромонтажные работы</t>
  </si>
  <si>
    <t>Количество пакетов документов, спортивных залов, систем электроснабжения</t>
  </si>
  <si>
    <t>МБУ СШОР №13 по кикбоксингу и рукопашному бою</t>
  </si>
  <si>
    <t>Количество пакетов документов, спортивных залов, помещений, систем электроснабжения</t>
  </si>
  <si>
    <t>Разработка проектно-сметной документации на капитальный ремонт здания (купальни), капитальный ремонт здания (купальни), помещений</t>
  </si>
  <si>
    <t>Разработка проектно-сметной документации на капитальный ремонт легкоатлетического манежа, трибун, крыши манежа, капитальный ремонт легкоатлетического манежа, трибун, крыши манежа.</t>
  </si>
  <si>
    <t xml:space="preserve">МАУ «Дворец спорта «Юность». </t>
  </si>
  <si>
    <t>Количество пакетов документов, зданий</t>
  </si>
  <si>
    <t xml:space="preserve">Приобретение спортивного оборудования и инвентаря </t>
  </si>
  <si>
    <t xml:space="preserve">Приобретение оборудования, инвентаря и материалов </t>
  </si>
  <si>
    <t>Количество оборудования, инвентаря, материалов</t>
  </si>
  <si>
    <t xml:space="preserve">Спортивная подготовка по не олимпийским видам спорта </t>
  </si>
  <si>
    <t>МАУ СШОР № 1 по спортивной гимнастике</t>
  </si>
  <si>
    <t>273J0025</t>
  </si>
  <si>
    <t>МБУ СШОР № 4 по лёгкой атлетике</t>
  </si>
  <si>
    <t>МАУ СШОР № 5 по футболу</t>
  </si>
  <si>
    <t>Количество предоставленных грантов в сфере физической культуры и спорта</t>
  </si>
  <si>
    <t>Количество предоставленных грантов</t>
  </si>
  <si>
    <t>Количество выплат спортсменам и тренерам</t>
  </si>
  <si>
    <t>Количество студентов и курсантов, получающих стипендии</t>
  </si>
  <si>
    <t>Разработка проектной и рабочей документации по объекту "Строительство физкультурно- оздоровительного комплекса по ул.Железнодорожной в г. Калининграде"</t>
  </si>
  <si>
    <t>МАУ ДО ДЮСШ спортивных единоборств</t>
  </si>
  <si>
    <t>МБУ ДО ДЮСШ восточных единоборств</t>
  </si>
  <si>
    <t>МАУ ДО ДЮСШ по хоккею с шайбой</t>
  </si>
  <si>
    <t>Число лиц посещающих объект</t>
  </si>
  <si>
    <t>Декабрь 2022</t>
  </si>
  <si>
    <t>МБУ ДО ДЮСШ по водным видам спорта "Морская школа"</t>
  </si>
  <si>
    <t>Установка противопожарных дверей, разборка сараев, монтаж системы АПС</t>
  </si>
  <si>
    <t>Количество объектов</t>
  </si>
  <si>
    <t>2021-2023</t>
  </si>
  <si>
    <t>Строительство физкультурно- оздоровительного комплекса по ул.Железнодорожной в г. Калининграде</t>
  </si>
  <si>
    <t>0</t>
  </si>
  <si>
    <t>Мероприятия по обеспечению условий для развития на территории городского округа физической культуры, школьного спорта и массового спорта</t>
  </si>
  <si>
    <t>КРДТИ</t>
  </si>
  <si>
    <t>Работы по установке защитной сетки под эстакадным мостом по Ленинскому проспекту на острове Канта в                           г. Калининграде</t>
  </si>
  <si>
    <t>Количество мероприятий</t>
  </si>
  <si>
    <t>Соисполнитель муниципальной программы - комитет развития дорожно-транспортной инфраструктуры</t>
  </si>
  <si>
    <t>Количество муниципальных организаций, осуществляющих спортивную подготовку в соответствии с федеральными стандартами спортивной подготовки</t>
  </si>
  <si>
    <t>Количество спортсменов, проходящих спортивную подготовку по программам спортивной подготовки в соответствии с требованиями федеральных стандартов спортивной подготовки</t>
  </si>
  <si>
    <t>273J3314</t>
  </si>
  <si>
    <t>Разработка ПСД на электромонтажные работы, монтаж системы видеонаблюдения</t>
  </si>
  <si>
    <t>Количество пакетов документов, количество систем видеонаблюдения</t>
  </si>
  <si>
    <t>Кв.м.</t>
  </si>
  <si>
    <t>Количество зеленых насаждений</t>
  </si>
  <si>
    <t>Приобретение и установка канализационного насоса</t>
  </si>
  <si>
    <t>Количество насосов</t>
  </si>
  <si>
    <t xml:space="preserve">Приобретение и установка пластиковых перегородок </t>
  </si>
  <si>
    <t>Количество перегородок</t>
  </si>
  <si>
    <t>Приобретение заградительной сетки</t>
  </si>
  <si>
    <t>Количество сетей</t>
  </si>
  <si>
    <t>Разработка ПСД, капитальный ремонт теплового пункта</t>
  </si>
  <si>
    <t>Количество пакетов документов, тепловых пунктов</t>
  </si>
  <si>
    <t>Количество систем пожарной сигнализации и систем оповещения</t>
  </si>
  <si>
    <t xml:space="preserve">Разработка ПСД, замена узла учета тепловой энергии </t>
  </si>
  <si>
    <t>Количество пакетов документов, узлов учета</t>
  </si>
  <si>
    <t xml:space="preserve">Разработка ПСД, капитальный ремонт теплового пункта </t>
  </si>
  <si>
    <t>Приобретение  спортивного оборудования, мультимедийной и компьютерной техники, мебели) в молодежные клубы по ул. Куйбышева и пр-ту Мира, 85.</t>
  </si>
  <si>
    <t>Вырубка и вырезка зеленых насаждений</t>
  </si>
  <si>
    <t xml:space="preserve">Перенос, устройство ограждения </t>
  </si>
  <si>
    <t>Разработка проектно-сметной документации, монтаж системы пожарной сигнализации и системы оповещения</t>
  </si>
  <si>
    <t>Приложение к приказу</t>
  </si>
  <si>
    <t xml:space="preserve">комитета по социальной политики </t>
  </si>
  <si>
    <t xml:space="preserve">администрации городского округа </t>
  </si>
  <si>
    <t>«Город Калининград»</t>
  </si>
  <si>
    <t xml:space="preserve">«____» ____________ 2021 г. </t>
  </si>
  <si>
    <t>№ ______</t>
  </si>
  <si>
    <t>МАУ ФСЦ «Янтарный парус»</t>
  </si>
  <si>
    <t>МБУ ДО ДЮСШ по водным видам спорта  «Морская школа»</t>
  </si>
  <si>
    <t>МАУ «Молодежный центр»</t>
  </si>
  <si>
    <t>Капитальный ремонт теплового пункта</t>
  </si>
  <si>
    <t>Приложение № 2</t>
  </si>
  <si>
    <t>к Программе</t>
  </si>
  <si>
    <t>Приложение № 1</t>
  </si>
  <si>
    <t>У2403</t>
  </si>
  <si>
    <t>МАУК КТК «Дом исскуств»</t>
  </si>
  <si>
    <t>5534/         60599</t>
  </si>
  <si>
    <t>5534/       60599</t>
  </si>
  <si>
    <t>6194/         64519</t>
  </si>
  <si>
    <t>6224/           64519</t>
  </si>
  <si>
    <t>6254/            64559</t>
  </si>
  <si>
    <t>6284/         64599</t>
  </si>
  <si>
    <t>409/     113,25</t>
  </si>
  <si>
    <t>2839/         1163874</t>
  </si>
  <si>
    <t>2830/        919450</t>
  </si>
  <si>
    <t>Ремонт покрытия автопарковки, разработка концептуального архитектурного проекта, проектно- сметной документации на благоустройство территории</t>
  </si>
  <si>
    <t>Количество кв.м./Количество пакетов документов</t>
  </si>
  <si>
    <t>2575/2</t>
  </si>
  <si>
    <t>Разработка проектно-сметной документации на капитальный ремонт системы внутреннего электроснабжения помещений, капитальный ремонт спортивного зала, помещений, системы внутреннего электроснабжения помещений</t>
  </si>
  <si>
    <t>МБУ СШОР       № 14</t>
  </si>
  <si>
    <t>Количество предоставленных грантов в молодежной сфере</t>
  </si>
  <si>
    <t xml:space="preserve">Количество учреждений, осуществивших совершенствование материально-технической базы </t>
  </si>
  <si>
    <t>Декабрь 2023</t>
  </si>
  <si>
    <t>Благоустройство территории, разработка проектно-сметной документации на замену узла учета тепловой энергии, капитальный ремоонт системы отопления. Замена узла учета тепловой энергии, капитальный ремонт системы отопления</t>
  </si>
  <si>
    <t>Колличество территорий,систем отопления, узлов тепловой энергии/ количество пакетов документов</t>
  </si>
  <si>
    <t>3/1</t>
  </si>
  <si>
    <t>273J0309</t>
  </si>
  <si>
    <t>273В3948</t>
  </si>
  <si>
    <t>Инженерно-геодезические изыскания участка, разработка ПСД на наружное освещение и видеонаблюдение</t>
  </si>
  <si>
    <t>Приобретение скутера (мотороллера)</t>
  </si>
  <si>
    <t>Количество скутеров (мотороллеров)</t>
  </si>
  <si>
    <t>Ремонт системы АПС</t>
  </si>
  <si>
    <t>Количкство систем</t>
  </si>
  <si>
    <t>Устройство ограждения по адресу: г.Калининград, пр-кт Московский,171</t>
  </si>
  <si>
    <t>Расчет пожарных рисков помещений нового здания по ул. Карамзина</t>
  </si>
  <si>
    <t>Разработка ПСД на электромонтажные работы, охранно- пожарную сигнализацию, систему отопления по адресу: г. Калининград, пр-т Московский, 76 МК "Доброволец"</t>
  </si>
  <si>
    <t>Разработка ПСД на электромонтажные работы, охранно- пожарную сигнализацию по адресу: г. Калининград,ул. Дарвина, 2 МК "Горизонт"</t>
  </si>
  <si>
    <t>Приобретение пылесоса и мебели</t>
  </si>
  <si>
    <t>Количество пылесосов/мебели</t>
  </si>
  <si>
    <t>4</t>
  </si>
  <si>
    <t>Приобретение компьютерной техники</t>
  </si>
  <si>
    <t>Обустройство спортивных площадок по адресам: г. Калининград, ул. Карбышева,8; ул. Трибуца; ул. Пионерской; ул. Мариупольской</t>
  </si>
  <si>
    <t>Количество спортивных площадок</t>
  </si>
  <si>
    <t>Обустройство спортивных площадок по адресам: г. Калининград, ул. Интернациональная, 32-34; пер. Загородный</t>
  </si>
  <si>
    <t>Разработка ПСД на обустройство спортивных площадок по адресам: г. Калининград, ул. Дзержинского,44; ул.Гайдара,131; ул. Красносельской 88-90; ул. Ремонтной 22</t>
  </si>
  <si>
    <t>Приобретение лавок для помещений раздевалок на стадионе "Пионер" в  по адресу: г.Калининград, пр.Мира,134</t>
  </si>
  <si>
    <t>Количество лавок</t>
  </si>
  <si>
    <t>8</t>
  </si>
  <si>
    <t>Приобретение биотуалетов (туалетных кабин)</t>
  </si>
  <si>
    <t>Количество туалетных кабин</t>
  </si>
  <si>
    <t>26</t>
  </si>
  <si>
    <t>У1024</t>
  </si>
  <si>
    <t>Разработка проектно-сметной документации, устройство и замена ограждения, замена насоса, установка тревожной кнопки</t>
  </si>
  <si>
    <t>Количество ограждений/насосов/ тревожных кнопок</t>
  </si>
  <si>
    <t>1/1/1</t>
  </si>
  <si>
    <t>Услуги по организации и проведению Всероссийских спортивных соревнований по тяжелой атлетике «Янтарная штанга»</t>
  </si>
  <si>
    <t>Обследование технического состояния несущих конструкций здания</t>
  </si>
  <si>
    <t>Количество пакетов документов, количество систем вентиляции</t>
  </si>
  <si>
    <t>Разработка ПСД на устройство вентиляции, устройство системы вентиляции</t>
  </si>
  <si>
    <t>1/1</t>
  </si>
  <si>
    <t>Ремонт помещений, крыльца</t>
  </si>
  <si>
    <t>Количество помещений, крылец</t>
  </si>
  <si>
    <t>2/1</t>
  </si>
  <si>
    <t>М/п</t>
  </si>
  <si>
    <t>207</t>
  </si>
  <si>
    <t>Количество метров погонных</t>
  </si>
  <si>
    <t>62400</t>
  </si>
  <si>
    <t>72036</t>
  </si>
  <si>
    <t>55</t>
  </si>
  <si>
    <t>МБУ ДЮСШ №13 по кикбоксингу и рукопашному бою</t>
  </si>
  <si>
    <t>06</t>
  </si>
  <si>
    <t>КпО</t>
  </si>
  <si>
    <t xml:space="preserve">Обустройство спортивных объектов муниципальной собственности </t>
  </si>
  <si>
    <t>273J0151</t>
  </si>
  <si>
    <t>Количество обустроенных спортивных объектов</t>
  </si>
  <si>
    <t>МБОУ СОШ       № 44</t>
  </si>
  <si>
    <t>МАОУ СОШ        № 39</t>
  </si>
  <si>
    <t>Организация и проведение официальных спортивных мероприятий, физкультурных мероприятий, торжественных церемоний</t>
  </si>
  <si>
    <t>Проведение водных спортивных, физкультурно-оздоровительных мероприятий</t>
  </si>
  <si>
    <t>Организация проведения массовых мероприятий, социально-культурных мероприятий, фестивалей, спортивных и физкультурных мероприятий</t>
  </si>
  <si>
    <t>У1023</t>
  </si>
  <si>
    <t>Предоставление дополнительного образования детей в сфере физической культуры и спорта</t>
  </si>
  <si>
    <t>Субсидии в целях приобретения нефинансовых активов</t>
  </si>
  <si>
    <t>Спортивная подготовка по олимпийским видам спорта</t>
  </si>
  <si>
    <t>У1025</t>
  </si>
  <si>
    <t>Капитальные вложения в объекты муниципальной собственности в целях строительства и реконструкции</t>
  </si>
  <si>
    <t>И2000</t>
  </si>
  <si>
    <t>И1000</t>
  </si>
  <si>
    <t>Устройство спортивной площадки на территории МАОУ СОШ № 39</t>
  </si>
  <si>
    <t>Проведение мероприятий, направленных на обеспечение досуговой деятельности детей, подростков и молодежи</t>
  </si>
  <si>
    <t>У1026</t>
  </si>
  <si>
    <t>Поддержка молодежи, спортсменов и тренеров, тренеров-преподавателей, общественных объединений в сферах физической культуры и спорта, популяризации здорового образа жизни</t>
  </si>
  <si>
    <t>П0504</t>
  </si>
  <si>
    <t>Разработка ПСД на электромонтажные работы, охранно- пожарную сигнализацию, устройство вентиляции по адресу: г. Калининград, пер. Серпуховский,10 МК "Медвежонок"</t>
  </si>
  <si>
    <t xml:space="preserve">к постановлению администрации </t>
  </si>
  <si>
    <t xml:space="preserve">городского округа </t>
  </si>
  <si>
    <t>от «___» ____ 2021 г. № ______</t>
  </si>
  <si>
    <t>Устройство спортивных объектов муниципальной собственности</t>
  </si>
  <si>
    <t>Трудоустройство не совершеннолнтних граждан</t>
  </si>
  <si>
    <t>330/82,5</t>
  </si>
  <si>
    <t>80/23</t>
  </si>
  <si>
    <t>410/105,5</t>
  </si>
  <si>
    <t>410/     105,5</t>
  </si>
  <si>
    <t xml:space="preserve">Устройство спортивных объектов муниципальной собственности </t>
  </si>
  <si>
    <t>Доступ к объектам спорта</t>
  </si>
  <si>
    <t xml:space="preserve">Спортивные мероприятия </t>
  </si>
  <si>
    <t>Услуги дополнительного образования</t>
  </si>
  <si>
    <t>Устройство физкультурно-оздоровительного комплекса открытого типа на территории МБОУ СОШ № 44</t>
  </si>
  <si>
    <t>Комитет по социальной политике администрации Калининграда (КпСП)</t>
  </si>
  <si>
    <t>Объем услуг медицинского сопровождеия</t>
  </si>
  <si>
    <t xml:space="preserve">Спортивная подготовка </t>
  </si>
  <si>
    <t>Объем услуг судейства</t>
  </si>
  <si>
    <t>398</t>
  </si>
  <si>
    <t>465</t>
  </si>
  <si>
    <t>Разработка ПСД по обустройству спортивных площадок ул. Кронштадтская, ул. Мариупольская</t>
  </si>
  <si>
    <t>МАОУ СОШ №2, МАОУ СОШ №6 с УИОП, МАОУ лицей №17, МАОУ СОШ №19, МАОУ СОШ №28, МАОУ СОШ №29, МАОУ СОШ №31, МАОУ гимназия №40 им.Ю.А. Гагарина</t>
  </si>
  <si>
    <t>КпСП/Комитет по образованию</t>
  </si>
  <si>
    <t>Устройство и замена ограждения, ремонт помещений</t>
  </si>
  <si>
    <t>Разработка расчета пожарных рисков</t>
  </si>
  <si>
    <t xml:space="preserve">Капитальный ремонт тренажерного зала, медицинского кабинета,  тренерской, ремонт вентиляции </t>
  </si>
  <si>
    <t>Разработка проектной и рабочей документации по объекту «Строительство Центра прогресса бокса по ул. Железнодорожной в          г. Калининграде»</t>
  </si>
  <si>
    <t>Услуги по организации и проведению международных спортивных соревнований по гребным видам спорта «Прегельская регата».</t>
  </si>
  <si>
    <t>МБУ ДО ДЮСШ   № 11</t>
  </si>
  <si>
    <t>МБУ ДО ДЮСШ                № 11</t>
  </si>
  <si>
    <t>396,705</t>
  </si>
  <si>
    <t>303,66</t>
  </si>
  <si>
    <t>Обследование трещин в теплопункте и вентиляционной камере</t>
  </si>
  <si>
    <t>Количество трещин</t>
  </si>
  <si>
    <t>Разработка ПСД на капитальный ремонт фасада и крыши здания легкоатлетического манежа</t>
  </si>
  <si>
    <t>Временно не распределенные средства</t>
  </si>
  <si>
    <t>Ремонт артезианской скважины, монтаж системы автоматики скважины, замена погружного насоса, монтаж умывальника, локальных очистных сооружении</t>
  </si>
  <si>
    <t>1/1/1/1</t>
  </si>
  <si>
    <t>590,0</t>
  </si>
  <si>
    <t>Приобретение и установка системы контроля и управления доступом по адресу: ул. Земельная, 6, Балтийское шоссе, 106</t>
  </si>
  <si>
    <t>Количество систем</t>
  </si>
  <si>
    <t>Усовершенствование системы видеонаблюдения</t>
  </si>
  <si>
    <t>Количество фасадов</t>
  </si>
  <si>
    <t>Ремонт фасада</t>
  </si>
  <si>
    <t>Приобретение ручного  металлодетектора</t>
  </si>
  <si>
    <t>Количество металлодетекторов</t>
  </si>
  <si>
    <t>Установка тревожной кнопки</t>
  </si>
  <si>
    <t>Количество тревожных кнопок</t>
  </si>
  <si>
    <t>Количество проектно-сметных документаций/ ограждений/насосов/ тревожных кнопок</t>
  </si>
  <si>
    <t>Соисполнитель муниципальной программы - комитет городского хозяйства и строительства</t>
  </si>
  <si>
    <t>Доля жителей, занятых в экономике, занимающихся физической культурой и спортом, в общей численности населения, занятого в экономике</t>
  </si>
  <si>
    <t>200/62400</t>
  </si>
  <si>
    <t>Количество студентов, курсантов и учащихся получающих стипендии главы городского округа «Город Калининград» и городского Совета депутатов Калининграда</t>
  </si>
  <si>
    <t>Количество выплат спортсменам за достижение высоких спортивных результатов и тренерам-преподавателям за высокие достижения</t>
  </si>
  <si>
    <t>Количество предостав-ленных грантов в сфере физической культуры и спорта, в молодежной сфере</t>
  </si>
  <si>
    <t>Устройство козырька</t>
  </si>
  <si>
    <t>Количество козырьков</t>
  </si>
  <si>
    <t>Объем реализованных дополнительных услуг</t>
  </si>
  <si>
    <t>Доля муниципальных грантов на реализацию социальных проектов в сфере физической культуры и спорта, в молодежной сфере</t>
  </si>
  <si>
    <t xml:space="preserve"> Обеспечение условий для развития на территории городского округа физической культуры, школьного спорта и массового спорта, организация проведения официальных физкультурно-оздоровительных и спортивных мероприятий</t>
  </si>
  <si>
    <r>
      <rPr>
        <sz val="14"/>
        <color indexed="10"/>
        <rFont val="Times New Roman"/>
        <family val="1"/>
        <charset val="204"/>
      </rPr>
      <t xml:space="preserve"> </t>
    </r>
    <r>
      <rPr>
        <sz val="14"/>
        <rFont val="Times New Roman"/>
        <family val="1"/>
        <charset val="204"/>
      </rPr>
      <t>Создание условий для самореализации молодежи города Калининграда.</t>
    </r>
  </si>
  <si>
    <t>Количество учреждений, осуществивших совершенствование материально-технической базы. Количество малых архитектурных форм.</t>
  </si>
  <si>
    <t>Приобретение оборудования для скейт-парка по Московсковскому пр-кту (пространство под 2-й эстакадой), устройство малых архитектурных форм (скамейки и урны)</t>
  </si>
  <si>
    <t xml:space="preserve">Разработка ПСД на обустройство спортивных площадок по адресам:г. Калининград, ул.У.Громовой,99а;Советский про-т,130; ул. Кутаисская,2; ул. Артиллерийская,25;ул. Красная-ул.Маяковского,10;ул. Серпуховская,37-41; ул. Куйбышева,127;ул. Мира,8-10;ул. З.Космодемьянской,7-17;ул. Емельянова,53;ул.Инженерная,4; ул.Глинки,8-ул.Богатырская; Ленинский про-т,44-46;ул. Гайдара,17-27;ул. Ломоносова,135; ул.Краснознаменская. </t>
  </si>
  <si>
    <t>18</t>
  </si>
  <si>
    <t>550</t>
  </si>
  <si>
    <t>Разработка проектно - сметной документации на устройство сантехнического павильона</t>
  </si>
  <si>
    <t>Количество проектно-сметных документаций</t>
  </si>
  <si>
    <t>1/11</t>
  </si>
  <si>
    <t>Капитальный ремонт спортивного зала, ремонт помещений, теплотехнический расчет</t>
  </si>
  <si>
    <t>Номер задачи/ основного мероприятия</t>
  </si>
  <si>
    <t>2021 – 2024 гг.</t>
  </si>
  <si>
    <t xml:space="preserve">Комитет по образованию администрации городского округа «Город Калининград»
Комитет городского хозяйства и строительства администрации городского округа «Город Калининград»
</t>
  </si>
  <si>
    <t>Комитет по социальной политике администрации городского округа «Город Калининград»</t>
  </si>
  <si>
    <t xml:space="preserve">Увеличение доли жителей, систематически занимающихся физической культурой и спортом, в общей численности населения в возрасте от 3 до 79 лет до 57,1%;
Сохранение доли жителей, занятых в экономике, занимающихся физической культурой и спортом, в общей численности населения, занятого в экономике до 20 %;
Увеличение доли детей и молодежи в возрасте от 3 до 29 лет, систематически занимающихся физической культурой и спортом, в общей численности детей и молодежи до 87 %;
Увеличение доли граждан среднего возраста (женщин от 30 до 54 лет, мужчин от 30 до 59 лет), систематически занимающихся физической культурой и спортом, в общей численности граждан среднего возраста до 55 %;
Увеличение доли граждан старшего возраста (женщин от 55 до 79 лет, мужчин от 60 до 79 лет), систематически занимающихся физической культурой и спортом, в общей численности граждан старшего возраста до 26 %;
Увеличение доли граждан в возрасте от 6 до 15 лет, занимающихся в спортивных организациях, в общей численности детей и молодежи до 44 %;
Увеличение уровня обеспеченности граждан спортивными сооружениями исходя из единовременной пропускной способности объектов спорта от необходимой единовременной пропускной способности подведомственных учреждений до 54,05 %;
Увеличение эффективности использования существующих объектов спорта до 72,1 %.
Увеличение доли молодых людей, участвующих в социально значимых мероприятиях и программах, от общей численности молодежи до 64,86 %.
</t>
  </si>
  <si>
    <t>Педоставление общественным объединениям грантов в форме субсидий на реализацию социальных проектов в сфере молодежной политики, физической культуры и спорта</t>
  </si>
  <si>
    <t>Количество учащихся, получающих стипендии городского округа «Город Калининград»  за достижение высоких результатов в спортивной деятельности</t>
  </si>
  <si>
    <t>Количество студентов и курсантов, получающих стипендии городского округа «Город Калининград» за достижения в социально значимой и общественной деятельности</t>
  </si>
  <si>
    <t>плюс с экономии</t>
  </si>
  <si>
    <t>минус экономия</t>
  </si>
  <si>
    <t>Количество скважин,насосов,умывальников,очистных сооружений</t>
  </si>
  <si>
    <t>Количество ограждений, количество помещений</t>
  </si>
  <si>
    <t>74712</t>
  </si>
  <si>
    <t>Услуги по организации и проведению Всероссийских соревнований по вольной борьбе среди юниоров до 24 лет</t>
  </si>
  <si>
    <t>XXV Международный турнир по боксу «Янтарные перчатки»</t>
  </si>
  <si>
    <t>Ноябрь 2021</t>
  </si>
  <si>
    <t>Услуги по организации и проведению Всероссийских соревнований по рукопашному бою памяти Олега Бутейко</t>
  </si>
  <si>
    <t>9415,882</t>
  </si>
  <si>
    <t>13006,272</t>
  </si>
  <si>
    <t>13286,672</t>
  </si>
  <si>
    <t>Приобретение компьютера в сборе с ПО</t>
  </si>
  <si>
    <t>Приобретение оборудования для открытия отделения на Верхнем озере</t>
  </si>
  <si>
    <t>Количество компьютеров</t>
  </si>
  <si>
    <t>80,0</t>
  </si>
  <si>
    <t>2200,00</t>
  </si>
  <si>
    <t>0,00</t>
  </si>
  <si>
    <t>Ремонт</t>
  </si>
  <si>
    <t>МТБ</t>
  </si>
  <si>
    <t>9558,594</t>
  </si>
  <si>
    <t>Реализация дополнительных общеразвивающих программ</t>
  </si>
  <si>
    <t>Реализация дополнительных предпрофессиональных программ в области физической культуры и спорта</t>
  </si>
  <si>
    <t>Количество лиц, получивших услугу общеразвивающих программ</t>
  </si>
  <si>
    <t>Количество лиц, получивших услугу предпрофессиональных программ</t>
  </si>
  <si>
    <t>8400</t>
  </si>
  <si>
    <t>142140</t>
  </si>
  <si>
    <t>6808</t>
  </si>
  <si>
    <t>57132</t>
  </si>
  <si>
    <t>194</t>
  </si>
  <si>
    <t>Организация и проведение официальных спортивных мероприятий</t>
  </si>
  <si>
    <t>Организация и проведение физкультурных и спортивных мероприятий в рамках Всероссийского физкультурно-спортивного комплекса "Готов к труду и обороне" (ГТО) (за исключением тестирования выполнения нормативов испытаний комплекса ГТО)</t>
  </si>
  <si>
    <t>Проведение тестирования выполнения нормативов испытаний (тестов) комплекса ГТО</t>
  </si>
  <si>
    <t>20240</t>
  </si>
  <si>
    <t>54572</t>
  </si>
  <si>
    <t>73392</t>
  </si>
  <si>
    <t>72512</t>
  </si>
  <si>
    <t>20930</t>
  </si>
  <si>
    <t>51106</t>
  </si>
  <si>
    <t>70565</t>
  </si>
  <si>
    <t>Услуги по организации и проведению XXV Международного турнира по боксу «Янтарные перчатки»</t>
  </si>
  <si>
    <t xml:space="preserve">Церемония посвящения в стипендиаты городского округа «Город Калининград» </t>
  </si>
  <si>
    <t>410,4</t>
  </si>
  <si>
    <t>684</t>
  </si>
  <si>
    <t>818</t>
  </si>
  <si>
    <t>8180</t>
  </si>
  <si>
    <t>1408</t>
  </si>
  <si>
    <t>704</t>
  </si>
  <si>
    <t>517,2</t>
  </si>
  <si>
    <t>1724</t>
  </si>
  <si>
    <t>Общий объем финансирования Программы составляет                  1 592 065,64 тыс. руб., в том числе:</t>
  </si>
  <si>
    <t>2021 – 2023 гг.</t>
  </si>
  <si>
    <t>Комитет по образованию администрации городского округа «Город Калининград»
Комитет городского хозяйства и строительства администрации городского округа «Город Калининград»
Комитет развития дорожно-транспортной инфраструктуры</t>
  </si>
  <si>
    <t>чел/час</t>
  </si>
  <si>
    <t>меропр</t>
  </si>
  <si>
    <t>спортподготовка сшоры</t>
  </si>
  <si>
    <t>шт</t>
  </si>
  <si>
    <t>доп.образ.</t>
  </si>
  <si>
    <t>площ.Белпнова, 129</t>
  </si>
  <si>
    <t>Благоустройство территории ДС Юность</t>
  </si>
  <si>
    <t>Колличество учреждений</t>
  </si>
  <si>
    <t xml:space="preserve">Приобретение спортивного и компьютерного оборудования и инвентаря </t>
  </si>
  <si>
    <t xml:space="preserve">Приобретение офисного оборудования </t>
  </si>
  <si>
    <t>10</t>
  </si>
  <si>
    <t>Приобретение спортивного  оборудования и инвентаря</t>
  </si>
  <si>
    <t>Общий объем финансирования Программы составляет                   2 213 192,75 тыс. руб., в том числе:</t>
  </si>
  <si>
    <t>Повышение мотивации граждан к регулярным занятиям физической культурой и спортом и ведению здорового образа жизни жителей города Калининграда, поддержка молодежных инициатив.</t>
  </si>
  <si>
    <t>ПП</t>
  </si>
  <si>
    <t>Количество досуговых мероприятиях</t>
  </si>
  <si>
    <t>муниципальной программы «Развитие молодежной сферы, физической культуры, спорта и дополнительного образования спортивной направленности в городском округе «Город Калининград»» на 2022 год и плановый период 2023-2024гг.</t>
  </si>
  <si>
    <t>Исполнитель</t>
  </si>
  <si>
    <t>МАУК КТК «Дом искусств»</t>
  </si>
  <si>
    <t>Электроснабжение вентиляционных установок, устройство переходных мостиков</t>
  </si>
  <si>
    <t>Благоустройство территории</t>
  </si>
  <si>
    <t>Корректировка сметной документации на капитальный ремонт фасада бассейна</t>
  </si>
  <si>
    <t>Июнь 2022</t>
  </si>
  <si>
    <t xml:space="preserve">Разработка  проектно-сметной документации, приобретение и установка модульного тренажерного зала с подключением к инженерным сетям </t>
  </si>
  <si>
    <t>Количество оборудования</t>
  </si>
  <si>
    <t>Приобретение и установка системы контроля доступа по адресам: г. Калининград, ул. Красная, д. 109, ул. Чайковского, д. 2</t>
  </si>
  <si>
    <t xml:space="preserve">Приобретение спортивного оборудования </t>
  </si>
  <si>
    <t xml:space="preserve">Внедрение электронной записи в группы по плаванию </t>
  </si>
  <si>
    <t>9</t>
  </si>
  <si>
    <t>Ремонт помещений</t>
  </si>
  <si>
    <t>Количество помещений</t>
  </si>
  <si>
    <t>Разработка проектно-сметной документации на усовершенствование системы видеонаблюдения</t>
  </si>
  <si>
    <t>Устройство ограждения</t>
  </si>
  <si>
    <t>Количество медицинских кабинетов</t>
  </si>
  <si>
    <t>Приобретение оснащения для медицинского кабинета</t>
  </si>
  <si>
    <t>Разработка проектно-сметной документации на работы в МК: «Позитив» (ул. Садовая,29), «Витязь» (ул.У.Громовой,81), «Ровесник» 
(ул. Краснокаменная,16), «Золотой лотос» (ул. Менделеева,12а)</t>
  </si>
  <si>
    <t>Количество тренажерных площадок</t>
  </si>
  <si>
    <t>Разработка  проектно-сметной документации на обустройство спортивных площадок по адресам: г. Калининград, ул. У. Громовой, 99а; Советский проспект, 130; ул. Кутаисская, 2; ул. Артиллерийская, 25; ул. Красная-ул. Маяковского, 10; ул. Глинки, 1; ул. Куйбышева, 127; ул. Мира. 8-10; ул. Р. Люксембург, 6; ул. Зеленая 82; ул. Инженерная, 4; ул. Глинки,8 – ул. Богатырская; Ленинский проспект, 44-46; ул. Гайдара,17-27; ул. Ломоносова, 135; ул. Краснознаменская</t>
  </si>
  <si>
    <t>Изготовление и монтаж детского игрового оборудования (детской игровой и спортивной площадки) на территории Верхнего озера города Калининграда</t>
  </si>
  <si>
    <t>Поставка оборудования по обеспечению доступной среды (информационные навигационные таблички для инвалидов со шрифтом Брайля)</t>
  </si>
  <si>
    <t>Приобретение урн с бетонным основанием для спортивных и игровых площадок</t>
  </si>
  <si>
    <t>Количество</t>
  </si>
  <si>
    <t>Плановое значение 2023</t>
  </si>
  <si>
    <t>Плановое значение 2024</t>
  </si>
  <si>
    <t>Источник финансирования</t>
  </si>
  <si>
    <t>Сумма финансового обеспечения по годам реализации, тыс.руб.</t>
  </si>
  <si>
    <t>Код   основн-ого меропри-ятия</t>
  </si>
  <si>
    <t>196</t>
  </si>
  <si>
    <t>92300</t>
  </si>
  <si>
    <t>93400</t>
  </si>
  <si>
    <t>93500</t>
  </si>
  <si>
    <t>201</t>
  </si>
  <si>
    <t>202</t>
  </si>
  <si>
    <t>Сентябрь 2022</t>
  </si>
  <si>
    <t>Ноябрь 2022</t>
  </si>
  <si>
    <t>5</t>
  </si>
  <si>
    <t>Устройство и замена ограждения</t>
  </si>
  <si>
    <t>0,0</t>
  </si>
  <si>
    <t>Декабрь 2024</t>
  </si>
  <si>
    <t>1424,45</t>
  </si>
  <si>
    <t>Устройство сантехнического павильона</t>
  </si>
  <si>
    <t>Количество павильонов</t>
  </si>
  <si>
    <t>Устройство модульного корпуса</t>
  </si>
  <si>
    <t>Количество корпусов</t>
  </si>
  <si>
    <t>Приобретение лодок</t>
  </si>
  <si>
    <t>Количество лодок</t>
  </si>
  <si>
    <t>43875</t>
  </si>
  <si>
    <t>30</t>
  </si>
  <si>
    <t>Обеспечение доступа к объектам спорта</t>
  </si>
  <si>
    <t>Число объектов</t>
  </si>
  <si>
    <t xml:space="preserve">Организация и проведение официальных спортивных мероприятий </t>
  </si>
  <si>
    <t>Услуги по организации и проведению физкультурных мероприятий "Городские "Велодни"</t>
  </si>
  <si>
    <t>Апрель- Сентябрь 2022</t>
  </si>
  <si>
    <t>8976</t>
  </si>
  <si>
    <t>Спортивная подготовка по неолимпийским видам спорта</t>
  </si>
  <si>
    <t>6224/64519</t>
  </si>
  <si>
    <t>Организация и проведение проекта «Школьная лига КВН»</t>
  </si>
  <si>
    <t>220/6686</t>
  </si>
  <si>
    <t>300/9000</t>
  </si>
  <si>
    <t>350/9404</t>
  </si>
  <si>
    <t>550/5000</t>
  </si>
  <si>
    <t xml:space="preserve">Приобретение запасных частей и матриалов для велосипедов и велотренажеров </t>
  </si>
  <si>
    <t>Количество оборудования и инвентаря</t>
  </si>
  <si>
    <t>Замена АПС, замена сетей электроснабжения, ремонт помещений в  молодежном клубе "Горизонт" по адресу г.Калининград, ул. Дарвина, 2</t>
  </si>
  <si>
    <t>Замена АПС, замена сетей электроснабжения, замена сетей отопления, ремонт помещений в  молодежном клубе "Доброволец" по адресу г.Калининград, Московский пр-кт,76</t>
  </si>
  <si>
    <t>Замена АПС, замена сетей вентиляции, замена сетей электроснабжения;                                                                      ремонт помещений в  молодежном клубе "Медвежонок" по адресу г.Калининград, пер. Серпуховской, 2-12</t>
  </si>
  <si>
    <t>Обустройство спортивной площадки по ул.Трибуца (ремонт покрытия из резиновой крошки, плиток резиновых, ремонт ограждения)</t>
  </si>
  <si>
    <t xml:space="preserve">Устройство спортивной площадки по адресу: г. Калининград, ул. Мариупольской </t>
  </si>
  <si>
    <t>Приобретение мебели, спортивного инвентаря и оборудования, настольных игр, музакальной техники,компьютерной техники, проекционного и видео оборудования в молодежные клубы</t>
  </si>
  <si>
    <t>Устройство малых архитектурных форм (скамейки и урны) на площадке под вторым эстакадным мостом</t>
  </si>
  <si>
    <t>Обустройство спортивных площадок по адресам: г. Калининград, ул. Чекистов, 82-88, ул. Катина-ул.Палубная</t>
  </si>
  <si>
    <t>Разработка проектно-сметной документации на капитальный ремонт крыши</t>
  </si>
  <si>
    <t>Количество электических сетей</t>
  </si>
  <si>
    <t>Электромонтажные работы</t>
  </si>
  <si>
    <t>Монтаж системы видеонаблюдения</t>
  </si>
  <si>
    <t>Количество систем отопления</t>
  </si>
  <si>
    <t xml:space="preserve">Ремонт системы отопления </t>
  </si>
  <si>
    <t>Ремонт ограждения по адресу: г.Калининград, пр-т Мира,134</t>
  </si>
  <si>
    <t>Количество тренажерных залов</t>
  </si>
  <si>
    <t>Количество крылец,водосточных систем</t>
  </si>
  <si>
    <t>Ремонт кровли здания на стадионе "Локомотив"</t>
  </si>
  <si>
    <t>Капитальный ремонт фасада, замена водосточной системы</t>
  </si>
  <si>
    <t>Количество фасадов, водосточных систем</t>
  </si>
  <si>
    <t>Разработка проектно-сметной документации на электромонтажные работы, устройство вентиляции в здании</t>
  </si>
  <si>
    <t>Количество пакетов документов,систем вентиляции</t>
  </si>
  <si>
    <t>Капитальный ремонт помещений, электромонтажные работы, устройство вентиляции</t>
  </si>
  <si>
    <t xml:space="preserve">Ремонт кровли, помещений, монтаж козырька </t>
  </si>
  <si>
    <t>Ремонт лестничного марша, душевых, раздевалок, помещений</t>
  </si>
  <si>
    <t>Капитальный ремонт спортивного зала</t>
  </si>
  <si>
    <t>Замена пылевой камеры</t>
  </si>
  <si>
    <t>Количество пыльевых камер</t>
  </si>
  <si>
    <t>Омолаживающая обрезка ивы, погрузка, перевозка, передача древесных отходов на полигон,  лесопатологическое обследование древесно-кустарниковой растительности</t>
  </si>
  <si>
    <t>Разработка проектно-сметной документации на монтаж системы автоматической пожарной сигнализации, монтаж системы автоматической пожарной сигнализации</t>
  </si>
  <si>
    <t>Количество пакетов документов, количество систем</t>
  </si>
  <si>
    <t>Замена окон и дверей по адресам: г. Калининград, ул. Красная, д. 109, ул. Чайковского, д. 2</t>
  </si>
  <si>
    <t>Количество крыш</t>
  </si>
  <si>
    <t>Разработка проектно-сметной документации, капитальный ремонт здания, проведение инженерно-геологических изысканий, усиление несущих конструкций, капитальный ремонт инженерных сетей, благоустройство территории, ремонт крыльца</t>
  </si>
  <si>
    <t>Разработка проектно-сметной документации на капитальный ремонт фасада и крыши здания легкоатлетического манежа</t>
  </si>
  <si>
    <t>Разработка концептуального архитектурного проекта, проектно-сметной документации на благоустройство территории</t>
  </si>
  <si>
    <t>Ремонт тренерской, помещений, устройство козырька</t>
  </si>
  <si>
    <t>Разработка проектно-сметной документации на капитальный ремонт легкоатлетического манежа и трубун, капитальный ремонт крыши легкоатлетического манежа</t>
  </si>
  <si>
    <t>Ремонт замощения территории, отмостки</t>
  </si>
  <si>
    <t>Капитальный ремонт помещений</t>
  </si>
  <si>
    <t>Капитальный ремонт легкоатлитеческого манежа и трибун</t>
  </si>
  <si>
    <t>Ремонт подвальных помещений</t>
  </si>
  <si>
    <t>Капитальный ремонт здания по адресу : г. Калининград, ул. Заводская,15</t>
  </si>
  <si>
    <t>Замена освещения по адресу: г. Калининград ул. Чайковского, 2</t>
  </si>
  <si>
    <t xml:space="preserve">«____» ____________ 2022 г. </t>
  </si>
  <si>
    <t>Услуги по организации и проведению международных спортивных соревнований по гребным видам спорта «Прегельская регата»</t>
  </si>
  <si>
    <t>Разработка проектно-сметной документации, благоустройство территории, ремонт помещений</t>
  </si>
  <si>
    <t>Разработка проектно-сметной документации, ремонт системы водоснабжения</t>
  </si>
  <si>
    <t xml:space="preserve">Разработка проектно-сметной документации на наружное и внутреннее освещение </t>
  </si>
  <si>
    <t>План реализации муниципальной программы «Развитие молодежной сферы, физической культуры, спорта и дополнительного образования спортивной направленности в городском округе «Город Калининград" на 2022 год и плановый период 2023-2024гг.</t>
  </si>
  <si>
    <t>Всего по  муниципальной программе «Развитие молодежной сферы, физической культуры, спорта и дополнительного образования спортивной направленности в городском округе «Город Калининград"</t>
  </si>
  <si>
    <t>Декабрь 2022/ Декабрь 2023</t>
  </si>
  <si>
    <t>Разработка проектно-сметной документации на замену трубопровода горячего и холодного водоснабжения здания легкоатлетического манежа,  разработка проектно-сметной документации на капитальный ремонт электрооборудования ГРЩ (главного распорядительного щита),разработка паспорта фасада здания манежа</t>
  </si>
  <si>
    <t>бассейн и манеж</t>
  </si>
  <si>
    <t>Устройство туалета для персонала, помещения для уборочного инвентаря, вентиляции,  ремонт душевой, тренерской, тренажерного зала, помещений, водосточной системы по адресу: г. Калининград, ул. Земельная,6</t>
  </si>
  <si>
    <t xml:space="preserve">Капитальный ремонт фасада, кровли, отмостки, входной группы, подпорной стенки, благоустройство территории, системы отопления здания бассейна МАУ "Дворец спорта "Юность" Литер Б, авторский надзор, строительный контроль </t>
  </si>
  <si>
    <t xml:space="preserve">Благоустройство территории, авторский надзор, строительный контроль, проведение государственной историко-культурной экспертизы  </t>
  </si>
  <si>
    <t>Ремонт кровли по адресу: г. Калининград, ул. Красная, 109</t>
  </si>
  <si>
    <t>Ремонт крыльца, отмостки, площадок по адресу: г.Калининград, пр. Мира,134</t>
  </si>
  <si>
    <t>Ремонт спортивных и молодежных клубов, включая монтаж и пусконаладочные работы систем охранной, охранно-пожарной сигнализации, систем видеонаблюдения и вентиляции</t>
  </si>
  <si>
    <t>Разработка ПСД на снос здания, снос здания, восстановительные работы  по адресу г.Калининград, ул. Л.Князева,3</t>
  </si>
  <si>
    <t>Услуги по организации и проведению Всероссийских соревнований по спортивной борьбе (дисциплина: вольная борьба) среди юниоров до 24 лет на призы ЗМС России А.А. Шумилина</t>
  </si>
  <si>
    <t>внести изменения в приказ!!!</t>
  </si>
  <si>
    <t>Ремонт спортзала</t>
  </si>
  <si>
    <r>
      <t>Ремонт детских игровых и спортивных площадок</t>
    </r>
    <r>
      <rPr>
        <sz val="9"/>
        <color indexed="10"/>
        <rFont val="Times New Roman"/>
        <family val="1"/>
        <charset val="204"/>
      </rPr>
      <t xml:space="preserve"> (в т.ч.</t>
    </r>
    <r>
      <rPr>
        <sz val="9"/>
        <rFont val="Times New Roman"/>
        <family val="1"/>
        <charset val="204"/>
      </rPr>
      <t xml:space="preserve"> текущий ремонт и замена оборудования)</t>
    </r>
  </si>
  <si>
    <r>
      <rPr>
        <b/>
        <sz val="9"/>
        <color indexed="10"/>
        <rFont val="Times New Roman"/>
        <family val="1"/>
        <charset val="204"/>
      </rPr>
      <t>Разработка ПСД,</t>
    </r>
    <r>
      <rPr>
        <sz val="9"/>
        <rFont val="Times New Roman"/>
        <family val="1"/>
        <charset val="204"/>
      </rPr>
      <t xml:space="preserve"> установка охранной телевизионной системы с идентификацией лиц посетителей</t>
    </r>
  </si>
  <si>
    <t>Ремонт детских игровых и спортивных площадок (в т.ч. текущий ремонт и замена оборудования)</t>
  </si>
  <si>
    <t>Разработка ПСД, установка охранной телевизионной системы с идентификацией лиц посетителей</t>
  </si>
  <si>
    <t>Объем услуг медицинского сопровождения</t>
  </si>
  <si>
    <t>100/4000</t>
  </si>
  <si>
    <t>220/6886</t>
  </si>
  <si>
    <t>6254/   64559</t>
  </si>
  <si>
    <t>Ремонт кровли, помещений</t>
  </si>
  <si>
    <t>Общая численность граждан Российской Федерации, вовлеченных центрами (сообществами, объединениями) поддержки добровольчества (волонтерства) на базе образовательных организаций, некоммерческих организаций, государственных и муниципальных учреждений в добровольческую (волонерскую) деятельность</t>
  </si>
  <si>
    <t xml:space="preserve">Увеличение доли жителей, систематически занимающихся физической культурой и спортом, в общей численности населения в возрасте от 3 до 79 лет до 57,1%;
Увеличение доли детей и молодежи в возрасте от 3 до 29 лет, систематически занимающихся физической культурой и спортом, в общей численности детей и молодежи до 87 %;
Увеличение доли граждан среднего возраста (женщин от 30 до 54 лет, мужчин от 30 до 59 лет), систематически занимающихся физической культурой и спортом, в общей численности граждан среднего возраста до 55 %;
Увеличение доли граждан старшего возраста (женщин от 55 до 79 лет, мужчин от 60 до 79 лет), систематически занимающихся физической культурой и спортом, в общей численности граждан старшего возраста до 26 %;
Увеличение доли граждан в возрасте от 6 до 15 лет, занимающихся в спортивных организациях, в общей численности детей и молодежи до 44 %;
Увеличение уровня обеспеченности граждан спортивными сооружениями исходя из единовременной пропускной способности объектов спорта от необходимой единовременной пропускной способности подведомственных учреждений до 54,05 %;
Увеличение эффективности использования существующих объектов спорта до 72,1 %.
Увеличение доли молодых людей, участвующих в социально значимых мероприятиях и программах, от общей численности молодежи до 53,53 %.                                                       Увеличение общей численности граждан Российской Федерации, вовлеченных центрами (сообществами, объединениями) поддержки добровольчества (волонтерства) на базе образовательных организаций, некоммерческих организаций, государственных и муниципальных учреждений в добровольческую (волонерскую) деятельность до _________ человек.
</t>
  </si>
  <si>
    <t>Апрель 2022</t>
  </si>
  <si>
    <t>Июль 2022</t>
  </si>
  <si>
    <t>Разработка проектно-сметной документации на замену трубопроводов водоснабжения здания легкоатлетического манежа, разработка проектно-сметной документации на капитальный ремонт здания теплопункта, разработка проектно-сметной документации на капитальный ремонт электрооборудования ГРЩ (главного распределительного щита), разработка паспорта фасада здания манежа, разработка  3-Д визуализации здания манежа с художественнной подстветкой, корректировка проектно-сметной документации на капитальный ремонт фасада здания бассейна, проведение государственной историко-культурной экспертизы, разработка проекта художественной подсветки здания бассейна.</t>
  </si>
  <si>
    <r>
      <t>МАУ ФСЦ «Ян</t>
    </r>
    <r>
      <rPr>
        <sz val="10"/>
        <rFont val="Times New Roman"/>
        <family val="1"/>
        <charset val="204"/>
      </rPr>
      <t>т</t>
    </r>
    <r>
      <rPr>
        <sz val="9"/>
        <rFont val="Times New Roman"/>
        <family val="1"/>
        <charset val="204"/>
      </rPr>
      <t>арный парус»</t>
    </r>
  </si>
  <si>
    <t>Предоставление общественным объединениям грантов в форме субсидий на реализацию социальных проектов в сфере молодежной политики, физической культуры и спорта</t>
  </si>
  <si>
    <t>Устройство наруж-ных инженерных сетей, основания под сантехнический павильон, благо-устройство террито-рии, аварийные ра-боты по ремонту кровли, ремонт по-мещений здания, расположенного на Верхнем озере</t>
  </si>
  <si>
    <t>Приобретение обо-рудования для от-крытия отделения на Верхнем озере, раз-работка проектной документации на площадку с ограж-дением, монтаж площадки с ограж-дением</t>
  </si>
  <si>
    <t>Разработка ПСД на монтаж системы АПС, капитальный ремонт системы автоматической пожарной сигнали-зации</t>
  </si>
  <si>
    <t>Электромонтажные работы, ремонт по-мещения</t>
  </si>
  <si>
    <t>Услуги по организации и проведению Международных спортивных соревнований по боксу «Кубок Калининграда»</t>
  </si>
  <si>
    <t>Услуги по организации и проведению всероссийских соревнований по гребным видам спорта «Прегельская регата»</t>
  </si>
  <si>
    <t>Гостиничные услуги для участников всероссийских соревнований по гребным видам спорта «Прегельская регата»</t>
  </si>
  <si>
    <t>Единовременные денежные выплаты за счет средств резервного фонда Правительства Калининградской области</t>
  </si>
  <si>
    <t>Количество сотрудников получивших выплаты</t>
  </si>
  <si>
    <t>Разработка проектно-сметной документации, капитальный ремонт здания, проведение инженерно-геологических изысканий, усиление несущих конструкций, капитальный ремонт инженерных сетей, благоустройство территории, ремонт крыльца, консультационные услуги</t>
  </si>
  <si>
    <t>У2199</t>
  </si>
  <si>
    <t>00</t>
  </si>
  <si>
    <t>У2198</t>
  </si>
  <si>
    <t xml:space="preserve">Ремонт ограждения, поврежденного упавшим деревом. </t>
  </si>
  <si>
    <t>Компенсационная подсадка 8 ед. деревьев взамен вырубленных в 2021 году</t>
  </si>
  <si>
    <t>Количество деревьев</t>
  </si>
  <si>
    <t>Устройство туалета для персонала, помещения для уборочного инвентаря, вентиляции,  ремонт душевой, тренерской, тренажерного зала, помещений, водосточной системы  и АПС по адресу: г. Калининград, ул. Земельная,6</t>
  </si>
  <si>
    <t>Ремонт крыши по адресу: г. Калинин-град, ул. Красная, 109. Ремонт АПС</t>
  </si>
  <si>
    <t>Учреждения КпСП</t>
  </si>
  <si>
    <t>У2201</t>
  </si>
  <si>
    <t>273В3949</t>
  </si>
  <si>
    <t>Приобретение и установка на стадионе "Пионер" каркасно-тентового манежа за счет средств резервного фонда Правительства Калининградской области</t>
  </si>
  <si>
    <t>Количество манежей</t>
  </si>
  <si>
    <t>Количество пожарных лестниц</t>
  </si>
  <si>
    <t>Замена вертикальной пожарной лестницы</t>
  </si>
  <si>
    <t>У2299</t>
  </si>
  <si>
    <t>273J0247</t>
  </si>
  <si>
    <t xml:space="preserve">Обустройство спортивных площадок.  Разработка, корректировка, проверка проектно-сметной документации на обустройство спортивных площадок по адресам: г. Калининград, ул. Чекистов, 82-88, ул. Катина-ул.Палубная </t>
  </si>
  <si>
    <t>Обустройство спортивной площадки по адресу пр-кт Мира 8-10</t>
  </si>
  <si>
    <t>273J0057</t>
  </si>
  <si>
    <t>Приобретение оборудования и инвентаря для организации палаточного лагеря</t>
  </si>
  <si>
    <t>Приобретение компьютерной и офисной техники</t>
  </si>
  <si>
    <t>МБУ ДО ДЮСШ № 11 по авиационным и техническим видам спорта</t>
  </si>
  <si>
    <t>Приобретение планера</t>
  </si>
  <si>
    <t>Количество планеров</t>
  </si>
  <si>
    <t>Приобретение пластиковых сидений для трибун</t>
  </si>
  <si>
    <t>Приобретение офисной мебели</t>
  </si>
  <si>
    <t>273J0249</t>
  </si>
  <si>
    <t>Услуги по организации и проведению Международного турнира по боксу "Янтарные перчатки"</t>
  </si>
  <si>
    <t>МАУ ДО ДЮСШ по водным видам спорта "Морская школа"</t>
  </si>
  <si>
    <t>Приобретение спортивного инвентаря</t>
  </si>
  <si>
    <t>Количество спортивного инвентаря</t>
  </si>
  <si>
    <t>Устройство сантехнического павильона, благоустройство территории</t>
  </si>
  <si>
    <t>Обустройство, благоустройство, капитальный ремонт спортивных площадок: ул. Мариупольская, ул. Дзержинского, ул. Гайдара, ул.Кронштадская, ул. Ремонтная, ул. Красносельская. Строительный контроль</t>
  </si>
  <si>
    <t>273J0026</t>
  </si>
  <si>
    <t>МБУ СШОР № 10 по волейболу</t>
  </si>
  <si>
    <t>Код   основного мероприятия муниципальной программы</t>
  </si>
  <si>
    <t>Исполнитель мероприятия муниципальной программы</t>
  </si>
  <si>
    <t>Основное мероприятие муниципальной программы / направление расходов / мероприятие муниципальной программы</t>
  </si>
  <si>
    <t>Показатели выполнения основного мероприятия муниципальной программы/ направления расходов/ мероприятия муниципальной программы</t>
  </si>
  <si>
    <t>2023 год</t>
  </si>
  <si>
    <t xml:space="preserve">«____» ____________ 2023 г. </t>
  </si>
  <si>
    <t>План реализации муниципальной программы «Развитие молодежной сферы, физической культуры, спорта и дополнительного образования спортивной направленности в городском округе «Город Калининград" на 2023 год и плановый период 2024-2025гг.</t>
  </si>
  <si>
    <t>Сентябрь 2023</t>
  </si>
  <si>
    <t>949</t>
  </si>
  <si>
    <t>9816</t>
  </si>
  <si>
    <t>16000</t>
  </si>
  <si>
    <t>Поставка значков спортивных разрядов</t>
  </si>
  <si>
    <t>Количество значков</t>
  </si>
  <si>
    <t>1000</t>
  </si>
  <si>
    <t>Поставка книжек спортивных разрядов</t>
  </si>
  <si>
    <t>Количество книжек</t>
  </si>
  <si>
    <t>Июнь 2023</t>
  </si>
  <si>
    <t>Ноябрь 2023</t>
  </si>
  <si>
    <t>Апрель- Сентябрь 2023</t>
  </si>
  <si>
    <t>9415,883</t>
  </si>
  <si>
    <t>273J0058</t>
  </si>
  <si>
    <t>9415,884</t>
  </si>
  <si>
    <t>Разработка проектно-сметной документации на устройство системы наружного видеонаблюдения, модульного административного корпуса, устройство системы наружного видеонаблюдения</t>
  </si>
  <si>
    <t>Количество павильонов , территорий</t>
  </si>
  <si>
    <t>Замощение территории (устройство парковки)</t>
  </si>
  <si>
    <t>0,02</t>
  </si>
  <si>
    <t>273J0059</t>
  </si>
  <si>
    <t>Количество комплектов оборудования и инвентаря</t>
  </si>
  <si>
    <t>Капитальный ремонт здания эллинга</t>
  </si>
  <si>
    <t>Устройство модульного административного корпуса</t>
  </si>
  <si>
    <t xml:space="preserve">Спортивное оборудование и инвентарь </t>
  </si>
  <si>
    <t>Капитальный ремонт электрооборудования ГРЩ, строительный контроль</t>
  </si>
  <si>
    <t>Капитальный ремонт  здания бассейна, благоустройство территории в  МАУ "Дворец спорта "Юность" Литер Б по адресу: Российская Федерация, Калининградская область, г. Калининград, ул. Маршала Баграмяна д.2, авторский надзор, строительный контроль</t>
  </si>
  <si>
    <t>Капитальный ремонт мужской и женской раздевалок большого бассейна. Капитальный ремонт здания теплового пункта</t>
  </si>
  <si>
    <t>Благоустройство территории, авторский надзор, строительный контроль</t>
  </si>
  <si>
    <t>Усиление стен здания, ремонт крылец</t>
  </si>
  <si>
    <t>Капитальный ремонт крыши, авторский надзор. Корректировка сметной документации</t>
  </si>
  <si>
    <t xml:space="preserve">Ремонт спортивного, тренажерного зала, помещений (ул. Земельная,6)  </t>
  </si>
  <si>
    <t>Приобретение офисной мебельи</t>
  </si>
  <si>
    <t>Количество мебели</t>
  </si>
  <si>
    <t>Приобретение спортивного оборудования</t>
  </si>
  <si>
    <t>Количество комплектов оборудования</t>
  </si>
  <si>
    <t>Приобретение баннера нв вход в здание</t>
  </si>
  <si>
    <t>Количество баннеров</t>
  </si>
  <si>
    <t>МАУ ДО ДЮСШ по водным видам спорта  «Морская школа»</t>
  </si>
  <si>
    <t xml:space="preserve">Приобретение и установка модульного тренажерного зала с подключением к инженерным сетям </t>
  </si>
  <si>
    <t>Количествомодульных зданий</t>
  </si>
  <si>
    <t>Электромонтажные работы, устройство системы вентиляции в спортивной зале (ул. Чайковского, 2). Замена трубопроводов горячего и холодного водоснабжения (ул. Красная, 109)</t>
  </si>
  <si>
    <t>Капитальный ремонт учебной ванны с обустройством системы перелива, разработка проектно-сметной документации на капитальный ремонт манежа, капитальный ремонт манежа</t>
  </si>
  <si>
    <t>Количество компьютерной и офисной техники</t>
  </si>
  <si>
    <t>Количество комплектов мебели для классов</t>
  </si>
  <si>
    <t>Приобретение мебели для оснащения учебных классов</t>
  </si>
  <si>
    <t>Приобретение оборудования для обеспечения учебного процесса</t>
  </si>
  <si>
    <t>Приобретение мотокосы бензиновой</t>
  </si>
  <si>
    <t>Приобретение байдарок и весел</t>
  </si>
  <si>
    <t>Количество мотокос</t>
  </si>
  <si>
    <t>Количество байдарок и весел</t>
  </si>
  <si>
    <t>3/6</t>
  </si>
  <si>
    <t>Ремонт помещений (Балтийское шоссе, 106)</t>
  </si>
  <si>
    <t>Количество компьютерной техники</t>
  </si>
  <si>
    <t>МАУ ФСЦ "Янтарный парус"</t>
  </si>
  <si>
    <t>МАУ СШОР № 5</t>
  </si>
  <si>
    <t>S1320</t>
  </si>
  <si>
    <t>Строительство физкультурно-оздоровительного комплекса по ул. Железнодорожной в г. Калининграде</t>
  </si>
  <si>
    <t>Строительство Центра прогресса бокса по ул. Железнодорожной в г. Калининграде</t>
  </si>
  <si>
    <t xml:space="preserve">Ремонт лестничного марша, душевых, раздевалок, помещений </t>
  </si>
  <si>
    <t>Ремонт тренерской</t>
  </si>
  <si>
    <t>Количество тренерских</t>
  </si>
  <si>
    <t>Разработка проектно-сметной документации на устройство наружного освещения, видеонаблюдения на стадионе "Красная звезда"</t>
  </si>
  <si>
    <t>Разработка ПСД, устройство беговых дорожек, благоустройство территории, заземления здания</t>
  </si>
  <si>
    <t>Замена системы холодного, горячего водоснабжения и отопления</t>
  </si>
  <si>
    <t>Ремонт системы полива, кондиционеров, вентиляции</t>
  </si>
  <si>
    <t>Устройство вентиляции в тренажерном зале</t>
  </si>
  <si>
    <t>Количество систем вентиляции</t>
  </si>
  <si>
    <t>Ремонт входной группы</t>
  </si>
  <si>
    <t>Приобретение сплит-системы с установкой</t>
  </si>
  <si>
    <t>Количество сплит-систем</t>
  </si>
  <si>
    <t>Ремонт кабинета директора, помещений</t>
  </si>
  <si>
    <t>Количество офисной мебели</t>
  </si>
  <si>
    <t>Замена панелей ограждения</t>
  </si>
  <si>
    <t>Ремонт клубов по адресам г. Калининград, ул. У. Громовой, 81, ул. Менделеева, 12А, ул. Садовая, 29, ул. Краснокаменная, 16</t>
  </si>
  <si>
    <t>Разработка ПСД на ремонт клубов по адресам г. Калининград, ул. Жиленкова, 14, пр-т Советский, 128, ул. Заводская, 5, ул. Карташева, 6</t>
  </si>
  <si>
    <t>Ремонт детских игровых и спортивных площадок</t>
  </si>
  <si>
    <t xml:space="preserve">Ремонт молодежных клубов, разработка ПСД </t>
  </si>
  <si>
    <t>Приобретение мебели в клубы по адресам г. Калининград, ул. У.Громовой, 81, ул. Менделеева, 12А, ул. Садовая, 29, ул. Краснокаменная, 16</t>
  </si>
  <si>
    <t>Приобретение техники в клубы по адресам г. Калининград, ул. У.Громовой, 81, ул. Менделеева, 12А, ул. Садовая, 29, ул. Краснокаменная, 16</t>
  </si>
  <si>
    <t>Приобретение оборудования в клубы по адресам г. Калининград, ул. У.Громовой, 81, ул. Менделеева, 12А, ул. Садовая, 29, ул. Краснокаменная, 16</t>
  </si>
  <si>
    <t>Приобретение настольных игр в клубы по адресам г. Калининград, ул. У.Громовой, 81, ул. Менделеева, 12А, ул. Садовая, 29, ул. Краснокаменная, 17</t>
  </si>
  <si>
    <t xml:space="preserve">Приобретение брендированной наградной атрибутики для проведения мероприятий </t>
  </si>
  <si>
    <t>Разработка ПСД на капитальный ремонт скейт-парка по адресу г. Калининград, ул. Пролетарская, 118</t>
  </si>
  <si>
    <t>Приобретение мебели для дооснащения спортивных и молодежных клубов</t>
  </si>
  <si>
    <t>Обустройство спортивных площадок на ул. Серпуховская, ул. Емельянова, ул. З. Космодемьянской</t>
  </si>
  <si>
    <t>Март 2023</t>
  </si>
  <si>
    <t>Услуги по организации и проведению Международных соревнований по спортивной борьбе (дисциплина: вольная борьба) среди юниоров до 24 лет "Кубок Андрея Шумилина"</t>
  </si>
  <si>
    <t>Организация и проведение проекта «Городская лига КВН "Золотой осьминог"</t>
  </si>
  <si>
    <t>3170/44626</t>
  </si>
  <si>
    <t>1760/26426</t>
  </si>
  <si>
    <t>640/9900</t>
  </si>
  <si>
    <t>80/800</t>
  </si>
  <si>
    <t>610/6700</t>
  </si>
  <si>
    <t>3190/44656</t>
  </si>
  <si>
    <t>3210/44686</t>
  </si>
  <si>
    <t>1780/26456</t>
  </si>
  <si>
    <t>1800/26486</t>
  </si>
  <si>
    <t>93600</t>
  </si>
  <si>
    <t>Обустройство спортивных площадок на ул. У. Громовой, 99а; 
Советский проспект, 130; ул. Кутаисская, 2; ул. Артиллерийская, 25; 
ул. Красная-ул. Маяковского, 10; ул. Глинки, 1; ул. Куйбышева, 127; ул. Мира. 8-10; 
ул. Р. Люксембург, 6; ул. Зеленая 82;
ул. Инженерная, 4; ул. Глинки, 8 – ул. Богатырская; Ленинский проспект, 44-46; ул. Гайдара,17-27; ул. Ломоносова, 135; ул. Краснознамёнская</t>
  </si>
  <si>
    <t>88</t>
  </si>
  <si>
    <t>Разработка проектно-сметной документации на монтаж систем АПС и СОУЭ, системы аварийного освещения в каркасно-тентовом манеже. Монтаж систем АПС и СОУЭ, системы аварийного освещения в каркасно-тентовом манеже. Устройство водоотводных лотков. Устройство ограждения стадион "Пионер"</t>
  </si>
  <si>
    <t>Организация проведения спортивных и физкультурных мероприятий</t>
  </si>
  <si>
    <t>Материально-техническое обеспечение учреждений физической культуры</t>
  </si>
  <si>
    <t>Обеспечение предоставления дополнительного образования детей в образовательных организациях спортивной направленности</t>
  </si>
  <si>
    <t>Материально-техническое обеспечение учреждений дополнительного образования</t>
  </si>
  <si>
    <t>Осуществление спортивной подготовки по олимпийским видам спорта</t>
  </si>
  <si>
    <t>Обеспечение уровня финансирования организаций, осуществляющих спортивную подготовку в соответствии с требованиями федеральных стандартов спортивной подготовки</t>
  </si>
  <si>
    <t>Материально-техническое обеспечение учреждений спорта</t>
  </si>
  <si>
    <t>Организация и проведение городских мероприятий для детей и молодежи</t>
  </si>
  <si>
    <t>Организация досуга детей и молодежи</t>
  </si>
  <si>
    <t>Материально-техническое обеспечение учреждений, осуществляющих деятельность по работе с детьми и молодежью</t>
  </si>
  <si>
    <t>Стипендии для одаренных детей и молодежи</t>
  </si>
  <si>
    <t>Гранты на реализацию социальных проектов в сфере молодежной политики, физической культуры и спорта</t>
  </si>
  <si>
    <t>*-плановые значения показателей на 2023 год будут уточнены при очередном вынесении изменений в муниципальную программу</t>
  </si>
  <si>
    <t>Объем реализуемых услуг дополнительного образования</t>
  </si>
  <si>
    <t>924110</t>
  </si>
  <si>
    <t>Количество человек, охваченных организацией досуга детей и молодежи</t>
  </si>
  <si>
    <t>23067</t>
  </si>
  <si>
    <t>Количество студентов, курсантов и учащихся, получающих стипендии городского округа "Город Калининград"</t>
  </si>
  <si>
    <t xml:space="preserve">Спортивная подготовка по неолимпийским видам спорта </t>
  </si>
  <si>
    <t>МБУ ДО СШ №13 по кикбоксингу, рукопашному бою и греко-римской борьбе</t>
  </si>
  <si>
    <t>МБУ ДО СШ восточных единоборств</t>
  </si>
  <si>
    <t>МАУ ДО СШ спортивных единоборств</t>
  </si>
  <si>
    <t>МАУ ДО СШ № 1 по спортивной гимнастике</t>
  </si>
  <si>
    <t>МБУ ДО СШ № 2 по художественной гимнастике</t>
  </si>
  <si>
    <t>МАУ ДО СШ №12 по боксу</t>
  </si>
  <si>
    <t>МАУ ДО СШОР по силовым видам спорта</t>
  </si>
  <si>
    <t xml:space="preserve">комитета по социальной политике </t>
  </si>
  <si>
    <t>МАУ ДО СШ № 8 по велоспорту</t>
  </si>
  <si>
    <t>МАУ ДО СШ по водным видам спорта "Морская школа"</t>
  </si>
  <si>
    <t>МАУ ДО СШ «Янтарный парус»</t>
  </si>
  <si>
    <t>МАУ ДО СШОР № 5 по футболу</t>
  </si>
  <si>
    <t>МАУ ДО СШ № 7 по теннису и настольному теннису</t>
  </si>
  <si>
    <t>МАУ ДО СШ по хоккею</t>
  </si>
  <si>
    <t xml:space="preserve">МАУ ДО СШ по хоккею </t>
  </si>
  <si>
    <t xml:space="preserve">МБУ ДО СШ № 11 </t>
  </si>
  <si>
    <t>МБУ ДО СШОР № 4 по лёгкой атлетике</t>
  </si>
  <si>
    <t xml:space="preserve">МБУ ДО СШ № 9 по баскетболу </t>
  </si>
  <si>
    <t xml:space="preserve">МБУ ДО СШОР № 10 по волейболу </t>
  </si>
  <si>
    <t>МАУ ДО СШ № 12 по боксу</t>
  </si>
  <si>
    <t>МБУ ДО СШОР № 14 по плаванию</t>
  </si>
  <si>
    <t>Услуги по организации и проведению Всероссийских спортивных соревнований по тяжелой атлетике «Янтарная штанга» памяти судьи международной категории Э.И. Цирика</t>
  </si>
  <si>
    <t>Реализация дополнительных образовательных программ спортивной подготовки по олимпийским видам спорта</t>
  </si>
  <si>
    <t>Реализация дополнительных образовательных программ спортивной подготовки по неолимпийским видам спорта</t>
  </si>
  <si>
    <t>2025 год</t>
  </si>
  <si>
    <t>2026 год</t>
  </si>
  <si>
    <t>600</t>
  </si>
  <si>
    <t>Поставка книжек спортивного судьи</t>
  </si>
  <si>
    <t>МБУ ДО СШОР № 4 по легкой атлетике</t>
  </si>
  <si>
    <t>Приобретение снегоуборочного отвала для трактора</t>
  </si>
  <si>
    <t xml:space="preserve">Ракетки для проведения учебно-тренировочных занятий для настольного тенниса </t>
  </si>
  <si>
    <t>Ремонт помещений (ул. Потемкина, 18)</t>
  </si>
  <si>
    <t>Капитальный ремонт санузла, душевых ул. Балтийское шоссе, 106</t>
  </si>
  <si>
    <t>Ремонт отмостки ул. Земельная, 6</t>
  </si>
  <si>
    <t>Ремонт фасада ул. Балтийское шоссе, 106</t>
  </si>
  <si>
    <t xml:space="preserve">Приобретение оборудования </t>
  </si>
  <si>
    <t>Количество площадок</t>
  </si>
  <si>
    <t>Обустройство спортивной площадки на Красной</t>
  </si>
  <si>
    <t>Организация и проведение проекта "Творческий Калининград»</t>
  </si>
  <si>
    <t>Организация и проведение проекта «Спортивный Калининград»</t>
  </si>
  <si>
    <t xml:space="preserve">Организация и проведение спортивно-оздоровительной работы по развитию физической культуры и спорта среди различных групп населения </t>
  </si>
  <si>
    <t>Устройство детских спортивных и игровых площадок</t>
  </si>
  <si>
    <t>Содержание детских спортивных и игровых площадок</t>
  </si>
  <si>
    <t>Количество посещений детей и молодежи</t>
  </si>
  <si>
    <t>59770</t>
  </si>
  <si>
    <t>59970</t>
  </si>
  <si>
    <t>Организация и проведение проекта "Молодежный КВН"</t>
  </si>
  <si>
    <t>Количество обустроенных площадок</t>
  </si>
  <si>
    <t>Строительство физкультурно-оздоровительного комплекса по ул. Барклая де Толли в г. Калининграде</t>
  </si>
  <si>
    <t>Строительство физкультурно-оздоровительного комплекса по ул. Докука в г. Калининграде</t>
  </si>
  <si>
    <t>2027 год</t>
  </si>
  <si>
    <t>Код типа структурного элемента</t>
  </si>
  <si>
    <t>Код структурного элемента</t>
  </si>
  <si>
    <t>Исполнитель структурного элемента/ мероприятия</t>
  </si>
  <si>
    <t>ПЛАН РЕАЛИЗАЦИИ</t>
  </si>
  <si>
    <t>Спорт высших достижений</t>
  </si>
  <si>
    <t>Улучшение качества оказания муниципальных услуг учреждениями физической культуры</t>
  </si>
  <si>
    <t>69122</t>
  </si>
  <si>
    <t>Ремонт помещений здания школы по Балтийскому ш., 106</t>
  </si>
  <si>
    <t>Разработка проектно-сметной документации по приспособлению к современному использованию объекта культурного наследия регионального значения Парк "Южный", 1927 год, расположенного по адресу: г. Калининград, пр-т Калинина-ул. Аллея Смелых.</t>
  </si>
  <si>
    <t>Ремонт помещений, окраска ограждения</t>
  </si>
  <si>
    <t>Ремонт помещений (спортзал)</t>
  </si>
  <si>
    <t>МБУ ДО СШ № 9 по баскетболу</t>
  </si>
  <si>
    <t>Окраска фасада</t>
  </si>
  <si>
    <t xml:space="preserve">Ремонт крыльца, устройство пандуса                             </t>
  </si>
  <si>
    <t>МБУ ДО СШОР № 14</t>
  </si>
  <si>
    <t>Разработка ПСД, капитальный ремонт административного здания (Наб. Карбышева, 22А)</t>
  </si>
  <si>
    <t xml:space="preserve">Приобретение беседок </t>
  </si>
  <si>
    <t xml:space="preserve">Мячи для проведения учебно-тренировочных занятий для тенниса </t>
  </si>
  <si>
    <t>Всепогодный стол для настольного тенниса для проведения городских мероприятий на открытом воздухе 2 шт.</t>
  </si>
  <si>
    <t>Сетка для тенниса переносная</t>
  </si>
  <si>
    <t xml:space="preserve">МАУ ДО СШ "Янтарный парус" </t>
  </si>
  <si>
    <t>Спортивное оборудование и инвентарь</t>
  </si>
  <si>
    <t>Приобретение запчастей для ремонта двигателя Mercure-60</t>
  </si>
  <si>
    <t>Приобретение парусов, окрашенных в российский триколор</t>
  </si>
  <si>
    <t xml:space="preserve">МАУ ДО СШОР № 1 по спортивной гимнастике </t>
  </si>
  <si>
    <t>Спортивная экипировка</t>
  </si>
  <si>
    <t>Приобретение и установка оборудования для расширения технических возможностей системы видеонаблюдения (стадион Красная звезда)</t>
  </si>
  <si>
    <t xml:space="preserve">Приобретение трактора с навесным оборудованием </t>
  </si>
  <si>
    <t xml:space="preserve">Ремонт системы полива </t>
  </si>
  <si>
    <t>МАУ "Молодежный центр"</t>
  </si>
  <si>
    <t>Поддержание нормативного состояния имущества и обновление материально-технической базы учреждений, осуществляющих деятельность по работе с детьми и молодежью</t>
  </si>
  <si>
    <t>МАУ "Дворец спорта "Юность"</t>
  </si>
  <si>
    <t>Капитальный ремонт крыши здания манежа</t>
  </si>
  <si>
    <t>Поставка наградной атрибутики (кубки)</t>
  </si>
  <si>
    <t>Поставка наградной атрибутики (медали)</t>
  </si>
  <si>
    <t>Поддержание нормативного состояния имущества и обновление материально-технической базы учреждений физической культуры</t>
  </si>
  <si>
    <t>Капитальный ремонт помещений детского и учебного плавательного бассейна (основные помещения, раздевалки, душевые, санузлы, сухой зал, тренерская, лаборатория, кладовые). Помещения спортивного бассейна (раздевалки, санузлы), ванн басейна, инженерных систем.</t>
  </si>
  <si>
    <t xml:space="preserve">Количество учреждений </t>
  </si>
  <si>
    <t xml:space="preserve">Оснащение молодежного клуба "Авиатор" (Жиленкова 14) (приобретение мебели, оборудования, техники). </t>
  </si>
  <si>
    <t>Капитальный ремонт скейт-парка (ул. Пролетарская)</t>
  </si>
  <si>
    <t>85325</t>
  </si>
  <si>
    <t>Поставка зачетных классификационных книжек спортсменов 2,3 и юношеских разрядов</t>
  </si>
  <si>
    <t>Поддержание нормативного состояния имущества и обновление материально-технической базы учреждений спорта</t>
  </si>
  <si>
    <t>Значение мероприятия (результата) структурного элемента муниципальной программы</t>
  </si>
  <si>
    <t>Мероприятия структурного элемента (направление расходов)</t>
  </si>
  <si>
    <t>ВСЕГО по структурному элементу</t>
  </si>
  <si>
    <r>
      <t xml:space="preserve"> комплекса процессных мероприятий  </t>
    </r>
    <r>
      <rPr>
        <b/>
        <sz val="12"/>
        <rFont val="Times New Roman"/>
        <family val="1"/>
        <charset val="204"/>
      </rPr>
      <t>«Дополнительное образование в сфере физической культуры и спорта»</t>
    </r>
    <r>
      <rPr>
        <sz val="12"/>
        <rFont val="Times New Roman"/>
        <family val="1"/>
        <charset val="204"/>
      </rPr>
      <t xml:space="preserve"> муниципальной программы «Спорт и молодежь» на 2025 год и плановый период 2026-2027гг.</t>
    </r>
  </si>
  <si>
    <t>Финансовое обеспечение по годам реализации, тыс. руб.</t>
  </si>
  <si>
    <t>49251</t>
  </si>
  <si>
    <t>49250</t>
  </si>
  <si>
    <t>49252</t>
  </si>
  <si>
    <t>49253</t>
  </si>
  <si>
    <t>Услуги по организации и проведению Международных соревнований по боксу "Янтарные перчатки"</t>
  </si>
  <si>
    <t>Услуги по организации и проведению всероссийских соревнований по гребному спорту (дисциплина- академическая гребля) «Прегельская регата»</t>
  </si>
  <si>
    <t>Реализация дополнительных образовательных программ спортивной подготовки по базовым видам спорта</t>
  </si>
  <si>
    <t>Оборудование и экипировка для тернировочного процесса</t>
  </si>
  <si>
    <t>Приобретение оборудования и экипировки для учебного процесса</t>
  </si>
  <si>
    <t xml:space="preserve">Приобретение спортивной экипировки </t>
  </si>
  <si>
    <t>Оборудование и экипировка для учебного процесса</t>
  </si>
  <si>
    <t>устройство ограждения (панелей)</t>
  </si>
  <si>
    <t>Поставка нагрудных значков спортивных разрядов</t>
  </si>
  <si>
    <t>Поставка нагрудных значков спортивного судьи</t>
  </si>
  <si>
    <t>Организация и проведение проекта "Мы Патриоты России"</t>
  </si>
  <si>
    <t>Торжественное чествование и награждение спортивного актива, приуроченного к празднованию Дня физкультурника</t>
  </si>
  <si>
    <t xml:space="preserve">Услуги по организации и проведению: Первенства и чемпионата Калининграда по велосипедному спорту (дисциплина-шоссе), Кубка Калининграда "Запад России" по велосипедному спорту (дисциплина шоссе), Кубка Калининграда "Кольца осени" по велосипедному спорту. </t>
  </si>
  <si>
    <t xml:space="preserve">Благоустройство территорий по адресу: ул. Маршала Баграмяна, 2 и ул. В. Гюго,                                                                                                                                                                                                          </t>
  </si>
  <si>
    <t>Выплата материального поощрения спортсменам - победителям первенства России среди юношей, юниоров, кадетов, ставшим по итогам первенства членами сборной команды Российской Федерации, и их тренерам (тренерам-преподавателям)</t>
  </si>
  <si>
    <t>Выплата материального поощрения спортсменам - победителям первенства России среди молодежи, ставшим по итогам первенства членами сборной команды Российской Федерации, и их тренерам (тренерам-преподавателям)</t>
  </si>
  <si>
    <r>
      <t xml:space="preserve"> комплекса процессных мероприятий  </t>
    </r>
    <r>
      <rPr>
        <b/>
        <sz val="14"/>
        <rFont val="Times New Roman"/>
        <family val="1"/>
        <charset val="204"/>
      </rPr>
      <t>«Популяризация физической культуры и спорта»</t>
    </r>
    <r>
      <rPr>
        <sz val="14"/>
        <rFont val="Times New Roman"/>
        <family val="1"/>
        <charset val="204"/>
      </rPr>
      <t xml:space="preserve"> муниципальной программы «Спорт и молодежь» на 2025 год и плановый период 2026-2027гг.</t>
    </r>
  </si>
  <si>
    <r>
      <t xml:space="preserve"> комплекса процессных мероприятий  </t>
    </r>
    <r>
      <rPr>
        <b/>
        <sz val="14"/>
        <rFont val="Times New Roman"/>
        <family val="1"/>
        <charset val="204"/>
      </rPr>
      <t>«Молодежная политика»</t>
    </r>
    <r>
      <rPr>
        <sz val="14"/>
        <rFont val="Times New Roman"/>
        <family val="1"/>
        <charset val="204"/>
      </rPr>
      <t xml:space="preserve"> муниципальной программы «Спорт и молодежь» на 2025 год и плановый период 2026-2027гг.</t>
    </r>
  </si>
  <si>
    <t xml:space="preserve">«____» ____________ 2025 г. </t>
  </si>
  <si>
    <t xml:space="preserve">Капитальный ремонт санузлов </t>
  </si>
  <si>
    <r>
      <t xml:space="preserve"> комплекса проектных мероприятий  </t>
    </r>
    <r>
      <rPr>
        <b/>
        <sz val="12"/>
        <rFont val="Times New Roman"/>
        <family val="1"/>
        <charset val="204"/>
      </rPr>
      <t xml:space="preserve">«Развитие спортивной инфраструктуры» </t>
    </r>
    <r>
      <rPr>
        <sz val="12"/>
        <rFont val="Times New Roman"/>
        <family val="1"/>
        <charset val="204"/>
      </rPr>
      <t>к муниципальной программы «Спорт и молодежь» на 2025 год и плановый период 2026-2027гг.</t>
    </r>
  </si>
  <si>
    <t>Структурный элемент муниципальной программы /направление расходов/ мероприятие</t>
  </si>
  <si>
    <t xml:space="preserve">Обустройство спортивных площадок:        Кутаисская, 2, Инженерная, 4, пр-т Ленинский, 44-46, Артиллерийская, 25.
 </t>
  </si>
  <si>
    <t>Значение мероприятия (результата) структурного элемента муниципальной программы/срок достижения контрольных точек мероприятий</t>
  </si>
  <si>
    <t>Год реализации</t>
  </si>
  <si>
    <t>КГХиС</t>
  </si>
  <si>
    <t>Приобретение спортивного оборудования и инвентаря для приведения организаций дополнительного образования со специальным названием "спортивная школа", использующих в своем наименовании слово "олимпийский" или образованные на его основе слова или словосочетания, в нормативное состояние</t>
  </si>
  <si>
    <t>Обустройство спортивных площадок:
ул.  Глинки, ул. Трибуца, пос. Совхозный.</t>
  </si>
  <si>
    <t>Завершение работ по разработке сметной документации</t>
  </si>
  <si>
    <t>Завершение работ по обустройству площадки</t>
  </si>
  <si>
    <t>Обустройство спортивной площадки: ул. Громовой, 99а</t>
  </si>
  <si>
    <t>Обустройство спортивной площадки: ул. Зеленая, 82</t>
  </si>
  <si>
    <t>Обустройство спортивной площадки: ул. Красная-Маяковского</t>
  </si>
  <si>
    <t>Обустройство спортивных площадок:       ул. Громовой, 99а, ул. Зеленая, 82, ул. Красная-Маяковского</t>
  </si>
  <si>
    <t>Обустройство спортивной площадки:       ул.Кутаисская, 2</t>
  </si>
  <si>
    <t>Обустройство спортивной площадки:       ул.Инженерная, 4</t>
  </si>
  <si>
    <t>Обустройство спортивной площадки: пр-т Ленинский, 44-46</t>
  </si>
  <si>
    <t>Экспертиза проектно-сметной документации</t>
  </si>
  <si>
    <t>Разработка проектно-сметной документации</t>
  </si>
  <si>
    <t>Завершение работ</t>
  </si>
  <si>
    <t>Корректировка проектно-сметной документации</t>
  </si>
  <si>
    <t>Реализация программы комплексного развития молодежной политики в субъектах Российской Федерации "Регион для молодых"</t>
  </si>
  <si>
    <r>
      <t xml:space="preserve"> регионального проекта  </t>
    </r>
    <r>
      <rPr>
        <b/>
        <sz val="14"/>
        <rFont val="Times New Roman"/>
        <family val="1"/>
        <charset val="204"/>
      </rPr>
      <t>«Россия страна возможностей»</t>
    </r>
    <r>
      <rPr>
        <sz val="14"/>
        <rFont val="Times New Roman"/>
        <family val="1"/>
        <charset val="204"/>
      </rPr>
      <t xml:space="preserve"> муниципальной программы «Спорт и молодежь» на 2025 год и плановый период 2026-2027гг.</t>
    </r>
  </si>
  <si>
    <t>492**</t>
  </si>
  <si>
    <t xml:space="preserve">март </t>
  </si>
  <si>
    <t xml:space="preserve">май </t>
  </si>
  <si>
    <t xml:space="preserve">октябрь </t>
  </si>
  <si>
    <t>март</t>
  </si>
  <si>
    <t>август</t>
  </si>
  <si>
    <t>декабрь</t>
  </si>
  <si>
    <t>июль</t>
  </si>
  <si>
    <t>январь</t>
  </si>
  <si>
    <t>июнь</t>
  </si>
  <si>
    <t>октябрь</t>
  </si>
  <si>
    <t>Комплект документации</t>
  </si>
  <si>
    <t xml:space="preserve">Обработка металлических, деревянных конструкций, разработка декларации пожарной безопасности </t>
  </si>
  <si>
    <t xml:space="preserve">Капитальный ремонт помещений, фасада, крылец, козырьков здания  ул. Аллея Смелых, д.2 </t>
  </si>
  <si>
    <t xml:space="preserve">Капитальный ремонт помещений </t>
  </si>
  <si>
    <t xml:space="preserve">ремонт кровли, перекрытия цокольного этажа, внутренних помещений с заменой дверного блока представление </t>
  </si>
  <si>
    <t>Количество участников городских мероприятий для детей и молодежи</t>
  </si>
  <si>
    <t>Количество зрителей городских мероприятий для детей и молодежи</t>
  </si>
  <si>
    <t>Приложение № 1 к приказу</t>
  </si>
  <si>
    <t>Приложение № 2 к приказу</t>
  </si>
  <si>
    <t>Приложение № 3 к приказу</t>
  </si>
  <si>
    <t>Приложение № 4 к приказу</t>
  </si>
  <si>
    <t>Приложение № 5 к приказу</t>
  </si>
  <si>
    <t>количество объектов</t>
  </si>
  <si>
    <t>количество услуг</t>
  </si>
  <si>
    <t>Количество учреждений, осуществивших мероприятий по улучшению своих условий</t>
  </si>
  <si>
    <t>13</t>
  </si>
  <si>
    <t>пакет документации</t>
  </si>
  <si>
    <t>количество оборудования</t>
  </si>
  <si>
    <t>количество комплектов</t>
  </si>
  <si>
    <t>количество учреждений</t>
  </si>
  <si>
    <t>количесто объектов</t>
  </si>
  <si>
    <t>количесвто объектов</t>
  </si>
  <si>
    <t>количесвто беседок</t>
  </si>
  <si>
    <t>количкство автомобилей</t>
  </si>
  <si>
    <t>количество посещений детей и молодежи</t>
  </si>
  <si>
    <t>количество площадок</t>
  </si>
  <si>
    <t>количество наградной атрибутики</t>
  </si>
  <si>
    <t>количество кубков</t>
  </si>
  <si>
    <t>количество медалей</t>
  </si>
  <si>
    <t>количество часов</t>
  </si>
  <si>
    <t>количество человеко/дней</t>
  </si>
  <si>
    <t>количество дипломов</t>
  </si>
  <si>
    <t xml:space="preserve">количество мероприятий </t>
  </si>
  <si>
    <t>количество значков</t>
  </si>
  <si>
    <t>количество книжек</t>
  </si>
  <si>
    <t>количество человек</t>
  </si>
  <si>
    <t xml:space="preserve">количество учреждений </t>
  </si>
  <si>
    <t>количество студентов и курсантов, получающих стипендии городского округа «Город Калининград» за достижения в социально значимой и общественной деятельности</t>
  </si>
  <si>
    <t>количество учащихся, получающих стипендии городского округа «Город Калининград»  за достижение высоких результатов в спортивной деятельности</t>
  </si>
  <si>
    <t>количество выплат спортсменам за достижение высоких спортивных результатов</t>
  </si>
  <si>
    <t>количество выплат тренерам-преподавателям за высокие достижения</t>
  </si>
  <si>
    <t>количество участников</t>
  </si>
  <si>
    <t>12</t>
  </si>
  <si>
    <t xml:space="preserve"> зрителей городских мероприятий для детей и молодежи</t>
  </si>
  <si>
    <t>1*</t>
  </si>
  <si>
    <t>Завершение работ/ввод объекта в эксплуатацию*</t>
  </si>
  <si>
    <t>декабрь*</t>
  </si>
  <si>
    <t>апрель</t>
  </si>
  <si>
    <t>сентябрь</t>
  </si>
  <si>
    <t>Завершение работ/ввод объекта в эксплуатацию</t>
  </si>
  <si>
    <t>2*</t>
  </si>
  <si>
    <t>Начальник управления спорта, молодежной политики и культуры</t>
  </si>
  <si>
    <t>Помогаева Л.В.</t>
  </si>
  <si>
    <t xml:space="preserve">Задоркина Татьяна Александровна </t>
  </si>
  <si>
    <t>8(4012) 92-41-50</t>
  </si>
  <si>
    <t>Начальник управления спорта, молодежной политики и культуры                                                      Помогаева Л.В.</t>
  </si>
  <si>
    <t>Количество участников мероприятий в рамках предоставленных грантов</t>
  </si>
  <si>
    <t>Количество участников мероприятий в рамках предоставленных грантов в молодежной сфере</t>
  </si>
  <si>
    <t>Количество участников мероприятий в рамках предоставленных грантов в сфере физической культуры и спорта</t>
  </si>
  <si>
    <t>Выплата материального поощрения спортсменам - победителям чемпионатов России и их тренерам (тренерам-преподавателям)</t>
  </si>
  <si>
    <t>МБУ "УКС"</t>
  </si>
  <si>
    <t>Обустройство спортивной площадки пос. Совхозный, ул. Привольная:</t>
  </si>
  <si>
    <t>Обустройство спортивной площадки: ул. Артиллерийская, 25</t>
  </si>
  <si>
    <t>Ремонт и замена оборудования детских игровых и спортивных площадок.</t>
  </si>
  <si>
    <t xml:space="preserve">Комплексное обслуживание, чистка и уборка многофункциональных, спортивных детских площадок и земельных участков, находящихся в оперативном управлении МАУ «Молодежный центр» в городе Калининграде </t>
  </si>
  <si>
    <t>Оценка технического состояния (экспертиза) детских игровых площадок, спортивных площадок и их покрытий по форме оценки технического состояния (технического освидетельствования)</t>
  </si>
  <si>
    <t>Обустройство спортивной площадки ул. Глинки, 1:</t>
  </si>
  <si>
    <t>Обустройство спортивной площадки ул. Трибуца,37:</t>
  </si>
  <si>
    <t>Ремонт помещения в ДС Юность</t>
  </si>
  <si>
    <t>Приобретение музыкального центра</t>
  </si>
  <si>
    <t xml:space="preserve">Приобретение инвентаря для тренировочного процесса </t>
  </si>
  <si>
    <t xml:space="preserve">Ремонт помещений </t>
  </si>
  <si>
    <t xml:space="preserve">Благоустройство территории </t>
  </si>
  <si>
    <t xml:space="preserve">Замена покрытия беговых дорожек </t>
  </si>
  <si>
    <t>Разработка ПИР, ПСД на замену системы охранной сигнализации, замена системы охранной сигнализации (выработан срок эксплуатации)</t>
  </si>
  <si>
    <t>Стол для настольного тенниса с чехлом</t>
  </si>
  <si>
    <t>Автомобиль Лада Веста.</t>
  </si>
  <si>
    <t>Разработка, корректировка ПСД, ремонт молодежных клубов.</t>
  </si>
  <si>
    <t>Разработка ПСД на капитальный ремонт здания по ул. Леонова, 4</t>
  </si>
  <si>
    <t xml:space="preserve">Проведение конкурсных процедур по выбору подрядной организации                                         </t>
  </si>
  <si>
    <t>Проведение конкурсных процедур по выбору подрядной организации (технологическое присоединение)</t>
  </si>
  <si>
    <t>Проведение конкурсных процедур по выбору подрядной организации (строительно-монтажные работы)*</t>
  </si>
  <si>
    <t>Проведение конкурсных процедур по выбору подрядной организации (строительно-монтажные работы)</t>
  </si>
  <si>
    <t>Проведение конкурсных процедур по выбору подрядной организации</t>
  </si>
  <si>
    <t>Заключение контракта на выполнение строительно-монтажных работ</t>
  </si>
  <si>
    <t>май</t>
  </si>
  <si>
    <t>Проведение конкурсных процедур по выбору исполнителя работ (строительно-монтажные работы)*</t>
  </si>
  <si>
    <t>Приемка выполненных работ (технологическое присоединение)</t>
  </si>
  <si>
    <t>Мероприятие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</si>
</sst>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₽_-;\-* #,##0.00\ _₽_-;_-* &quot;-&quot;??\ _₽_-;_-@_-"/>
    <numFmt numFmtId="165" formatCode="_(* #,##0.00_);_(* \(#,##0.00\);_(* &quot;-&quot;??_);_(@_)"/>
    <numFmt numFmtId="166" formatCode="[$-419]mmmm\ yyyy;@"/>
    <numFmt numFmtId="167" formatCode="0.000"/>
    <numFmt numFmtId="168" formatCode="#,##0.00\ _₽"/>
  </numFmts>
  <fonts count="41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1"/>
      <color indexed="8"/>
      <name val="Calibri"/>
      <family val="2"/>
    </font>
    <font>
      <i/>
      <sz val="10"/>
      <name val="Arial Cyr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Arial Cyr"/>
      <charset val="204"/>
    </font>
    <font>
      <sz val="14"/>
      <name val="Calibri"/>
      <family val="2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color indexed="81"/>
      <name val="Tahoma"/>
      <family val="2"/>
      <charset val="204"/>
    </font>
    <font>
      <b/>
      <sz val="8"/>
      <color indexed="81"/>
      <name val="Tahoma"/>
      <family val="2"/>
      <charset val="204"/>
    </font>
    <font>
      <sz val="13"/>
      <name val="Times New Roman"/>
      <family val="1"/>
      <charset val="204"/>
    </font>
    <font>
      <sz val="13"/>
      <name val="Arial Cyr"/>
      <charset val="204"/>
    </font>
    <font>
      <sz val="14"/>
      <name val="Arial Cyr"/>
      <charset val="204"/>
    </font>
    <font>
      <sz val="14"/>
      <color indexed="10"/>
      <name val="Times New Roman"/>
      <family val="1"/>
      <charset val="204"/>
    </font>
    <font>
      <b/>
      <sz val="8"/>
      <name val="Arial Cyr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color indexed="10"/>
      <name val="Times New Roman"/>
      <family val="1"/>
      <charset val="204"/>
    </font>
    <font>
      <b/>
      <sz val="9"/>
      <color indexed="10"/>
      <name val="Times New Roman"/>
      <family val="1"/>
      <charset val="204"/>
    </font>
    <font>
      <sz val="20"/>
      <name val="Arial Cyr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0"/>
      <name val="Arial Cyr"/>
    </font>
    <font>
      <sz val="8"/>
      <name val="Arial Cyr"/>
      <charset val="204"/>
    </font>
    <font>
      <b/>
      <sz val="14"/>
      <name val="Times New Roman"/>
      <family val="1"/>
      <charset val="204"/>
    </font>
    <font>
      <sz val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FF0000"/>
      <name val="Arial Cyr"/>
      <charset val="204"/>
    </font>
    <font>
      <sz val="12"/>
      <color rgb="FF00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0"/>
      <color theme="1"/>
      <name val="Arial Cyr"/>
      <charset val="204"/>
    </font>
    <font>
      <b/>
      <sz val="12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b/>
      <sz val="9"/>
      <color rgb="FFFF0000"/>
      <name val="Times New Roman"/>
      <family val="1"/>
      <charset val="204"/>
    </font>
  </fonts>
  <fills count="2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4F25"/>
        <bgColor indexed="64"/>
      </patternFill>
    </fill>
    <fill>
      <patternFill patternType="solid">
        <fgColor rgb="FFD9FF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A3A62A"/>
        <bgColor indexed="64"/>
      </patternFill>
    </fill>
    <fill>
      <patternFill patternType="solid">
        <fgColor theme="7" tint="0.79998168889431442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0" fontId="2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65" fontId="2" fillId="0" borderId="0" applyFont="0" applyFill="0" applyBorder="0" applyAlignment="0" applyProtection="0"/>
  </cellStyleXfs>
  <cellXfs count="1429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30" fillId="0" borderId="1" xfId="0" applyFont="1" applyBorder="1" applyAlignment="1">
      <alignment vertical="center" wrapText="1"/>
    </xf>
    <xf numFmtId="0" fontId="31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vertical="center" wrapText="1"/>
    </xf>
    <xf numFmtId="0" fontId="32" fillId="0" borderId="0" xfId="0" applyFont="1"/>
    <xf numFmtId="166" fontId="1" fillId="0" borderId="1" xfId="0" applyNumberFormat="1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 shrinkToFit="1"/>
    </xf>
    <xf numFmtId="49" fontId="1" fillId="3" borderId="2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horizontal="center" vertical="center"/>
    </xf>
    <xf numFmtId="4" fontId="1" fillId="0" borderId="1" xfId="0" applyNumberFormat="1" applyFont="1" applyBorder="1" applyAlignment="1">
      <alignment vertical="center" wrapText="1"/>
    </xf>
    <xf numFmtId="49" fontId="1" fillId="3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vertical="center" wrapText="1"/>
    </xf>
    <xf numFmtId="166" fontId="1" fillId="3" borderId="1" xfId="0" applyNumberFormat="1" applyFont="1" applyFill="1" applyBorder="1" applyAlignment="1">
      <alignment vertical="center" wrapText="1"/>
    </xf>
    <xf numFmtId="4" fontId="1" fillId="3" borderId="1" xfId="0" applyNumberFormat="1" applyFont="1" applyFill="1" applyBorder="1" applyAlignment="1">
      <alignment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0" fontId="0" fillId="3" borderId="0" xfId="0" applyFill="1"/>
    <xf numFmtId="49" fontId="1" fillId="0" borderId="1" xfId="0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6" fillId="0" borderId="0" xfId="0" applyFont="1" applyAlignment="1">
      <alignment horizontal="centerContinuous" vertical="center"/>
    </xf>
    <xf numFmtId="0" fontId="5" fillId="0" borderId="0" xfId="0" applyFont="1" applyAlignment="1">
      <alignment horizontal="centerContinuous" vertical="center" wrapText="1"/>
    </xf>
    <xf numFmtId="0" fontId="6" fillId="0" borderId="1" xfId="0" applyFont="1" applyBorder="1" applyAlignment="1">
      <alignment horizontal="center" vertical="center" wrapText="1"/>
    </xf>
    <xf numFmtId="4" fontId="7" fillId="0" borderId="1" xfId="0" applyNumberFormat="1" applyFont="1" applyBorder="1"/>
    <xf numFmtId="0" fontId="6" fillId="0" borderId="3" xfId="0" applyFont="1" applyBorder="1" applyAlignment="1">
      <alignment horizontal="center" vertical="center" wrapText="1"/>
    </xf>
    <xf numFmtId="4" fontId="7" fillId="0" borderId="3" xfId="0" applyNumberFormat="1" applyFont="1" applyBorder="1"/>
    <xf numFmtId="0" fontId="1" fillId="0" borderId="1" xfId="0" applyFont="1" applyBorder="1" applyAlignment="1">
      <alignment horizontal="center" vertical="top" wrapText="1"/>
    </xf>
    <xf numFmtId="0" fontId="0" fillId="0" borderId="0" xfId="0" applyAlignment="1">
      <alignment horizontal="centerContinuous" vertical="center"/>
    </xf>
    <xf numFmtId="0" fontId="5" fillId="0" borderId="0" xfId="0" applyFont="1" applyAlignment="1">
      <alignment horizontal="centerContinuous" vertical="center"/>
    </xf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wrapText="1"/>
    </xf>
    <xf numFmtId="0" fontId="33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0" xfId="0" applyFont="1"/>
    <xf numFmtId="0" fontId="6" fillId="0" borderId="0" xfId="0" applyFont="1" applyAlignment="1">
      <alignment wrapText="1"/>
    </xf>
    <xf numFmtId="0" fontId="6" fillId="0" borderId="0" xfId="0" applyFont="1" applyAlignment="1">
      <alignment horizontal="centerContinuous" vertical="center" wrapText="1"/>
    </xf>
    <xf numFmtId="0" fontId="33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Continuous" vertical="center" wrapText="1"/>
    </xf>
    <xf numFmtId="4" fontId="33" fillId="0" borderId="1" xfId="0" applyNumberFormat="1" applyFont="1" applyBorder="1" applyAlignment="1">
      <alignment horizontal="center" vertical="top" wrapText="1"/>
    </xf>
    <xf numFmtId="49" fontId="33" fillId="0" borderId="1" xfId="0" applyNumberFormat="1" applyFont="1" applyBorder="1" applyAlignment="1">
      <alignment horizontal="center" vertical="top" wrapText="1"/>
    </xf>
    <xf numFmtId="2" fontId="6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Continuous" vertical="center"/>
    </xf>
    <xf numFmtId="0" fontId="7" fillId="0" borderId="0" xfId="0" applyFont="1"/>
    <xf numFmtId="0" fontId="6" fillId="0" borderId="1" xfId="0" applyFont="1" applyBorder="1" applyAlignment="1">
      <alignment vertical="center" wrapText="1"/>
    </xf>
    <xf numFmtId="4" fontId="0" fillId="0" borderId="0" xfId="0" applyNumberFormat="1"/>
    <xf numFmtId="0" fontId="6" fillId="4" borderId="0" xfId="0" applyFont="1" applyFill="1" applyAlignment="1">
      <alignment wrapText="1"/>
    </xf>
    <xf numFmtId="0" fontId="10" fillId="4" borderId="0" xfId="0" applyFont="1" applyFill="1" applyAlignment="1">
      <alignment vertical="top" wrapText="1"/>
    </xf>
    <xf numFmtId="4" fontId="6" fillId="0" borderId="0" xfId="0" applyNumberFormat="1" applyFont="1" applyAlignment="1">
      <alignment wrapText="1"/>
    </xf>
    <xf numFmtId="2" fontId="6" fillId="0" borderId="0" xfId="0" applyNumberFormat="1" applyFont="1" applyAlignment="1">
      <alignment wrapText="1"/>
    </xf>
    <xf numFmtId="0" fontId="6" fillId="4" borderId="4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6" fillId="4" borderId="5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wrapText="1"/>
    </xf>
    <xf numFmtId="0" fontId="6" fillId="4" borderId="6" xfId="0" applyFont="1" applyFill="1" applyBorder="1" applyAlignment="1">
      <alignment horizontal="center" wrapText="1"/>
    </xf>
    <xf numFmtId="0" fontId="6" fillId="4" borderId="7" xfId="0" applyFont="1" applyFill="1" applyBorder="1" applyAlignment="1">
      <alignment horizontal="centerContinuous" vertical="center" wrapText="1"/>
    </xf>
    <xf numFmtId="0" fontId="6" fillId="4" borderId="8" xfId="0" applyFont="1" applyFill="1" applyBorder="1" applyAlignment="1">
      <alignment horizontal="centerContinuous" vertical="center" wrapText="1"/>
    </xf>
    <xf numFmtId="0" fontId="6" fillId="4" borderId="9" xfId="0" applyFont="1" applyFill="1" applyBorder="1" applyAlignment="1">
      <alignment horizontal="center" wrapText="1"/>
    </xf>
    <xf numFmtId="0" fontId="6" fillId="4" borderId="10" xfId="0" applyFont="1" applyFill="1" applyBorder="1" applyAlignment="1">
      <alignment horizont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wrapText="1"/>
    </xf>
    <xf numFmtId="49" fontId="6" fillId="4" borderId="5" xfId="0" applyNumberFormat="1" applyFont="1" applyFill="1" applyBorder="1" applyAlignment="1">
      <alignment horizontal="center" vertical="center" wrapText="1"/>
    </xf>
    <xf numFmtId="4" fontId="6" fillId="4" borderId="5" xfId="0" applyNumberFormat="1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  <xf numFmtId="49" fontId="6" fillId="4" borderId="14" xfId="0" applyNumberFormat="1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vertical="top" wrapText="1"/>
    </xf>
    <xf numFmtId="0" fontId="6" fillId="4" borderId="14" xfId="0" applyFont="1" applyFill="1" applyBorder="1" applyAlignment="1">
      <alignment vertical="top" wrapText="1"/>
    </xf>
    <xf numFmtId="0" fontId="6" fillId="4" borderId="15" xfId="0" applyFont="1" applyFill="1" applyBorder="1" applyAlignment="1">
      <alignment vertical="top" wrapText="1"/>
    </xf>
    <xf numFmtId="0" fontId="6" fillId="4" borderId="16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wrapText="1"/>
    </xf>
    <xf numFmtId="0" fontId="6" fillId="4" borderId="18" xfId="0" applyFont="1" applyFill="1" applyBorder="1" applyAlignment="1">
      <alignment horizontal="center" wrapText="1"/>
    </xf>
    <xf numFmtId="0" fontId="6" fillId="4" borderId="11" xfId="0" applyFont="1" applyFill="1" applyBorder="1" applyAlignment="1">
      <alignment horizontal="left" vertical="top" wrapText="1"/>
    </xf>
    <xf numFmtId="49" fontId="6" fillId="4" borderId="19" xfId="0" applyNumberFormat="1" applyFont="1" applyFill="1" applyBorder="1" applyAlignment="1">
      <alignment horizontal="center" vertical="center" wrapText="1"/>
    </xf>
    <xf numFmtId="2" fontId="6" fillId="4" borderId="19" xfId="0" applyNumberFormat="1" applyFont="1" applyFill="1" applyBorder="1" applyAlignment="1">
      <alignment horizontal="center" vertical="center" wrapText="1"/>
    </xf>
    <xf numFmtId="2" fontId="6" fillId="4" borderId="5" xfId="0" applyNumberFormat="1" applyFont="1" applyFill="1" applyBorder="1" applyAlignment="1">
      <alignment wrapText="1"/>
    </xf>
    <xf numFmtId="2" fontId="6" fillId="4" borderId="5" xfId="0" applyNumberFormat="1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horizontal="centerContinuous" vertical="center" wrapText="1"/>
    </xf>
    <xf numFmtId="0" fontId="6" fillId="4" borderId="0" xfId="0" applyFont="1" applyFill="1" applyAlignment="1">
      <alignment horizontal="centerContinuous" vertical="center" wrapText="1"/>
    </xf>
    <xf numFmtId="49" fontId="6" fillId="4" borderId="20" xfId="0" applyNumberFormat="1" applyFont="1" applyFill="1" applyBorder="1" applyAlignment="1">
      <alignment horizontal="center" vertical="center" wrapText="1"/>
    </xf>
    <xf numFmtId="49" fontId="9" fillId="4" borderId="14" xfId="0" applyNumberFormat="1" applyFont="1" applyFill="1" applyBorder="1" applyAlignment="1">
      <alignment horizontal="center" vertical="center" wrapText="1"/>
    </xf>
    <xf numFmtId="49" fontId="6" fillId="4" borderId="21" xfId="0" applyNumberFormat="1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left" vertical="top" wrapText="1"/>
    </xf>
    <xf numFmtId="1" fontId="6" fillId="4" borderId="22" xfId="0" applyNumberFormat="1" applyFont="1" applyFill="1" applyBorder="1" applyAlignment="1">
      <alignment horizontal="center" vertical="center" wrapText="1"/>
    </xf>
    <xf numFmtId="49" fontId="6" fillId="4" borderId="23" xfId="0" applyNumberFormat="1" applyFont="1" applyFill="1" applyBorder="1" applyAlignment="1">
      <alignment vertical="center" wrapText="1"/>
    </xf>
    <xf numFmtId="0" fontId="9" fillId="4" borderId="14" xfId="0" applyFont="1" applyFill="1" applyBorder="1" applyAlignment="1">
      <alignment horizontal="center" vertical="center" wrapText="1"/>
    </xf>
    <xf numFmtId="0" fontId="10" fillId="4" borderId="24" xfId="0" applyFont="1" applyFill="1" applyBorder="1" applyAlignment="1">
      <alignment vertical="top" wrapText="1"/>
    </xf>
    <xf numFmtId="0" fontId="6" fillId="4" borderId="14" xfId="0" applyFont="1" applyFill="1" applyBorder="1" applyAlignment="1">
      <alignment horizontal="left" vertical="center" wrapText="1"/>
    </xf>
    <xf numFmtId="0" fontId="6" fillId="4" borderId="0" xfId="0" applyFont="1" applyFill="1" applyAlignment="1">
      <alignment horizontal="left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4" borderId="25" xfId="0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left" vertical="top" wrapText="1"/>
    </xf>
    <xf numFmtId="0" fontId="5" fillId="4" borderId="15" xfId="0" applyFont="1" applyFill="1" applyBorder="1" applyAlignment="1">
      <alignment horizontal="center" vertical="center" wrapText="1"/>
    </xf>
    <xf numFmtId="49" fontId="6" fillId="4" borderId="26" xfId="0" applyNumberFormat="1" applyFont="1" applyFill="1" applyBorder="1" applyAlignment="1">
      <alignment horizontal="center" vertical="center" wrapText="1"/>
    </xf>
    <xf numFmtId="49" fontId="6" fillId="4" borderId="27" xfId="0" applyNumberFormat="1" applyFont="1" applyFill="1" applyBorder="1" applyAlignment="1">
      <alignment horizontal="center" vertical="center" wrapText="1"/>
    </xf>
    <xf numFmtId="0" fontId="6" fillId="4" borderId="28" xfId="0" applyFont="1" applyFill="1" applyBorder="1" applyAlignment="1">
      <alignment horizontal="center" vertical="center" wrapText="1"/>
    </xf>
    <xf numFmtId="0" fontId="6" fillId="4" borderId="28" xfId="0" applyFont="1" applyFill="1" applyBorder="1" applyAlignment="1">
      <alignment wrapText="1"/>
    </xf>
    <xf numFmtId="0" fontId="6" fillId="4" borderId="28" xfId="0" applyFont="1" applyFill="1" applyBorder="1" applyAlignment="1">
      <alignment horizontal="center" wrapText="1"/>
    </xf>
    <xf numFmtId="49" fontId="6" fillId="4" borderId="28" xfId="0" applyNumberFormat="1" applyFont="1" applyFill="1" applyBorder="1" applyAlignment="1">
      <alignment horizontal="center" vertical="center" wrapText="1"/>
    </xf>
    <xf numFmtId="49" fontId="6" fillId="4" borderId="29" xfId="0" applyNumberFormat="1" applyFont="1" applyFill="1" applyBorder="1" applyAlignment="1">
      <alignment horizontal="center" vertical="center" wrapText="1"/>
    </xf>
    <xf numFmtId="0" fontId="6" fillId="4" borderId="30" xfId="0" applyFont="1" applyFill="1" applyBorder="1" applyAlignment="1">
      <alignment horizontal="center" vertical="center" wrapText="1"/>
    </xf>
    <xf numFmtId="0" fontId="6" fillId="4" borderId="30" xfId="0" applyFont="1" applyFill="1" applyBorder="1" applyAlignment="1">
      <alignment horizontal="center" wrapText="1"/>
    </xf>
    <xf numFmtId="49" fontId="6" fillId="4" borderId="30" xfId="0" applyNumberFormat="1" applyFont="1" applyFill="1" applyBorder="1" applyAlignment="1">
      <alignment horizontal="center" vertical="center" wrapText="1"/>
    </xf>
    <xf numFmtId="0" fontId="6" fillId="4" borderId="31" xfId="0" applyFont="1" applyFill="1" applyBorder="1" applyAlignment="1">
      <alignment wrapText="1"/>
    </xf>
    <xf numFmtId="0" fontId="5" fillId="4" borderId="32" xfId="0" applyFont="1" applyFill="1" applyBorder="1" applyAlignment="1">
      <alignment horizontal="center" vertical="center" wrapText="1"/>
    </xf>
    <xf numFmtId="0" fontId="6" fillId="4" borderId="30" xfId="0" applyFont="1" applyFill="1" applyBorder="1" applyAlignment="1">
      <alignment horizontal="left" vertical="top" wrapText="1"/>
    </xf>
    <xf numFmtId="4" fontId="6" fillId="0" borderId="1" xfId="0" applyNumberFormat="1" applyFont="1" applyBorder="1" applyAlignment="1">
      <alignment horizontal="center" vertical="center" wrapText="1"/>
    </xf>
    <xf numFmtId="0" fontId="6" fillId="4" borderId="14" xfId="7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14" fillId="0" borderId="0" xfId="0" applyFont="1"/>
    <xf numFmtId="0" fontId="13" fillId="0" borderId="0" xfId="0" applyFont="1" applyAlignment="1">
      <alignment horizontal="centerContinuous" vertical="center"/>
    </xf>
    <xf numFmtId="2" fontId="6" fillId="4" borderId="22" xfId="0" applyNumberFormat="1" applyFont="1" applyFill="1" applyBorder="1" applyAlignment="1" applyProtection="1">
      <alignment horizontal="center" vertical="center" wrapText="1"/>
      <protection locked="0"/>
    </xf>
    <xf numFmtId="0" fontId="10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6" fillId="4" borderId="1" xfId="0" applyFont="1" applyFill="1" applyBorder="1" applyAlignment="1">
      <alignment horizontal="center" vertical="center" wrapText="1"/>
    </xf>
    <xf numFmtId="1" fontId="6" fillId="4" borderId="22" xfId="0" applyNumberFormat="1" applyFont="1" applyFill="1" applyBorder="1" applyAlignment="1" applyProtection="1">
      <alignment horizontal="center" vertical="center" wrapText="1"/>
      <protection locked="0"/>
    </xf>
    <xf numFmtId="49" fontId="6" fillId="4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top" wrapText="1"/>
    </xf>
    <xf numFmtId="49" fontId="6" fillId="4" borderId="33" xfId="0" applyNumberFormat="1" applyFont="1" applyFill="1" applyBorder="1" applyAlignment="1">
      <alignment horizontal="center" vertical="center" wrapText="1"/>
    </xf>
    <xf numFmtId="49" fontId="6" fillId="4" borderId="34" xfId="0" applyNumberFormat="1" applyFont="1" applyFill="1" applyBorder="1" applyAlignment="1">
      <alignment horizontal="center" vertical="center" wrapText="1"/>
    </xf>
    <xf numFmtId="0" fontId="9" fillId="4" borderId="22" xfId="7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4" borderId="24" xfId="0" applyFont="1" applyFill="1" applyBorder="1" applyAlignment="1">
      <alignment vertical="top" wrapText="1"/>
    </xf>
    <xf numFmtId="0" fontId="6" fillId="4" borderId="35" xfId="0" applyFont="1" applyFill="1" applyBorder="1" applyAlignment="1">
      <alignment horizontal="left" vertical="top" wrapText="1"/>
    </xf>
    <xf numFmtId="49" fontId="6" fillId="4" borderId="36" xfId="0" applyNumberFormat="1" applyFont="1" applyFill="1" applyBorder="1" applyAlignment="1">
      <alignment horizontal="center" vertical="center" wrapText="1"/>
    </xf>
    <xf numFmtId="49" fontId="6" fillId="4" borderId="37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10" fillId="4" borderId="17" xfId="0" applyFont="1" applyFill="1" applyBorder="1" applyAlignment="1">
      <alignment vertical="top" wrapText="1"/>
    </xf>
    <xf numFmtId="0" fontId="9" fillId="4" borderId="17" xfId="7" applyFont="1" applyFill="1" applyBorder="1" applyAlignment="1">
      <alignment horizontal="center" vertical="center" wrapText="1"/>
    </xf>
    <xf numFmtId="49" fontId="6" fillId="4" borderId="38" xfId="0" applyNumberFormat="1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vertical="top" wrapText="1"/>
    </xf>
    <xf numFmtId="4" fontId="10" fillId="0" borderId="1" xfId="0" applyNumberFormat="1" applyFont="1" applyBorder="1" applyAlignment="1">
      <alignment horizontal="center" wrapText="1"/>
    </xf>
    <xf numFmtId="0" fontId="6" fillId="0" borderId="28" xfId="0" applyFont="1" applyBorder="1" applyAlignment="1">
      <alignment vertical="center" wrapText="1"/>
    </xf>
    <xf numFmtId="0" fontId="5" fillId="0" borderId="28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49" fontId="5" fillId="0" borderId="1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49" fontId="5" fillId="0" borderId="10" xfId="0" applyNumberFormat="1" applyFont="1" applyBorder="1" applyAlignment="1">
      <alignment horizontal="center" vertical="center" wrapText="1"/>
    </xf>
    <xf numFmtId="49" fontId="5" fillId="0" borderId="35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49" fontId="6" fillId="0" borderId="0" xfId="0" applyNumberFormat="1" applyFont="1" applyAlignment="1">
      <alignment wrapText="1"/>
    </xf>
    <xf numFmtId="0" fontId="6" fillId="4" borderId="17" xfId="0" applyFont="1" applyFill="1" applyBorder="1" applyAlignment="1">
      <alignment vertical="top" wrapText="1"/>
    </xf>
    <xf numFmtId="0" fontId="6" fillId="4" borderId="10" xfId="0" applyFont="1" applyFill="1" applyBorder="1" applyAlignment="1">
      <alignment horizontal="left" vertical="top" wrapText="1"/>
    </xf>
    <xf numFmtId="0" fontId="5" fillId="0" borderId="7" xfId="0" applyFont="1" applyBorder="1" applyAlignment="1">
      <alignment horizontal="left" vertical="center" wrapText="1"/>
    </xf>
    <xf numFmtId="0" fontId="6" fillId="0" borderId="6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35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41" xfId="0" applyFont="1" applyBorder="1" applyAlignment="1">
      <alignment horizontal="center" vertical="center" wrapText="1"/>
    </xf>
    <xf numFmtId="49" fontId="5" fillId="0" borderId="23" xfId="0" applyNumberFormat="1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6" fillId="0" borderId="30" xfId="0" applyFont="1" applyBorder="1" applyAlignment="1">
      <alignment vertical="center" wrapText="1"/>
    </xf>
    <xf numFmtId="0" fontId="8" fillId="0" borderId="30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15" fillId="0" borderId="0" xfId="0" applyFont="1"/>
    <xf numFmtId="0" fontId="5" fillId="4" borderId="3" xfId="0" applyFont="1" applyFill="1" applyBorder="1" applyAlignment="1">
      <alignment horizontal="center" vertical="center" wrapText="1"/>
    </xf>
    <xf numFmtId="0" fontId="6" fillId="4" borderId="47" xfId="0" applyFont="1" applyFill="1" applyBorder="1" applyAlignment="1">
      <alignment horizontal="center" vertical="center" wrapText="1"/>
    </xf>
    <xf numFmtId="49" fontId="6" fillId="4" borderId="23" xfId="0" applyNumberFormat="1" applyFont="1" applyFill="1" applyBorder="1" applyAlignment="1">
      <alignment horizontal="center" vertical="center" wrapText="1"/>
    </xf>
    <xf numFmtId="49" fontId="6" fillId="4" borderId="35" xfId="0" applyNumberFormat="1" applyFont="1" applyFill="1" applyBorder="1" applyAlignment="1">
      <alignment horizontal="center" vertical="center" wrapText="1"/>
    </xf>
    <xf numFmtId="0" fontId="6" fillId="4" borderId="48" xfId="0" applyFont="1" applyFill="1" applyBorder="1" applyAlignment="1">
      <alignment horizontal="center" vertical="center" wrapText="1"/>
    </xf>
    <xf numFmtId="0" fontId="6" fillId="4" borderId="35" xfId="0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  <xf numFmtId="0" fontId="6" fillId="4" borderId="24" xfId="0" applyFont="1" applyFill="1" applyBorder="1" applyAlignment="1">
      <alignment horizontal="center" vertical="center" wrapText="1"/>
    </xf>
    <xf numFmtId="0" fontId="9" fillId="4" borderId="15" xfId="7" applyFont="1" applyFill="1" applyBorder="1" applyAlignment="1">
      <alignment horizontal="center" vertical="center" wrapText="1"/>
    </xf>
    <xf numFmtId="0" fontId="9" fillId="4" borderId="24" xfId="7" applyFont="1" applyFill="1" applyBorder="1" applyAlignment="1">
      <alignment horizontal="center" vertical="center" wrapText="1"/>
    </xf>
    <xf numFmtId="0" fontId="9" fillId="4" borderId="35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9" fillId="4" borderId="14" xfId="7" applyFont="1" applyFill="1" applyBorder="1" applyAlignment="1">
      <alignment horizontal="center" vertical="center" wrapText="1"/>
    </xf>
    <xf numFmtId="49" fontId="6" fillId="4" borderId="49" xfId="0" applyNumberFormat="1" applyFont="1" applyFill="1" applyBorder="1" applyAlignment="1">
      <alignment horizontal="center" vertical="center" wrapText="1"/>
    </xf>
    <xf numFmtId="49" fontId="6" fillId="4" borderId="22" xfId="0" applyNumberFormat="1" applyFont="1" applyFill="1" applyBorder="1" applyAlignment="1">
      <alignment horizontal="center" vertical="center" wrapText="1"/>
    </xf>
    <xf numFmtId="0" fontId="9" fillId="4" borderId="11" xfId="7" applyFont="1" applyFill="1" applyBorder="1" applyAlignment="1">
      <alignment horizontal="center" vertical="center" wrapText="1"/>
    </xf>
    <xf numFmtId="0" fontId="6" fillId="5" borderId="10" xfId="0" applyFont="1" applyFill="1" applyBorder="1" applyAlignment="1">
      <alignment horizontal="center" vertical="center" wrapText="1"/>
    </xf>
    <xf numFmtId="0" fontId="6" fillId="4" borderId="37" xfId="0" applyFont="1" applyFill="1" applyBorder="1" applyAlignment="1">
      <alignment horizontal="center" vertical="center" wrapText="1"/>
    </xf>
    <xf numFmtId="0" fontId="6" fillId="4" borderId="50" xfId="0" applyFont="1" applyFill="1" applyBorder="1" applyAlignment="1">
      <alignment horizontal="center" vertical="center" wrapText="1"/>
    </xf>
    <xf numFmtId="0" fontId="6" fillId="4" borderId="51" xfId="0" applyFont="1" applyFill="1" applyBorder="1" applyAlignment="1">
      <alignment horizontal="center" wrapText="1"/>
    </xf>
    <xf numFmtId="4" fontId="6" fillId="4" borderId="51" xfId="0" applyNumberFormat="1" applyFont="1" applyFill="1" applyBorder="1" applyAlignment="1">
      <alignment horizontal="center" vertical="center" wrapText="1"/>
    </xf>
    <xf numFmtId="2" fontId="6" fillId="4" borderId="51" xfId="0" applyNumberFormat="1" applyFont="1" applyFill="1" applyBorder="1" applyAlignment="1">
      <alignment horizontal="center" vertical="center" wrapText="1"/>
    </xf>
    <xf numFmtId="2" fontId="6" fillId="4" borderId="51" xfId="0" applyNumberFormat="1" applyFont="1" applyFill="1" applyBorder="1" applyAlignment="1">
      <alignment wrapText="1"/>
    </xf>
    <xf numFmtId="0" fontId="6" fillId="4" borderId="11" xfId="0" applyFont="1" applyFill="1" applyBorder="1" applyAlignment="1">
      <alignment horizontal="center" wrapText="1"/>
    </xf>
    <xf numFmtId="0" fontId="6" fillId="4" borderId="11" xfId="0" applyFont="1" applyFill="1" applyBorder="1" applyAlignment="1">
      <alignment wrapText="1"/>
    </xf>
    <xf numFmtId="0" fontId="6" fillId="4" borderId="51" xfId="0" applyFont="1" applyFill="1" applyBorder="1" applyAlignment="1">
      <alignment horizontal="center" vertical="center" wrapText="1"/>
    </xf>
    <xf numFmtId="49" fontId="6" fillId="4" borderId="51" xfId="0" applyNumberFormat="1" applyFont="1" applyFill="1" applyBorder="1" applyAlignment="1">
      <alignment horizontal="center" vertical="center" wrapText="1"/>
    </xf>
    <xf numFmtId="2" fontId="6" fillId="4" borderId="20" xfId="0" applyNumberFormat="1" applyFont="1" applyFill="1" applyBorder="1" applyAlignment="1">
      <alignment wrapText="1"/>
    </xf>
    <xf numFmtId="2" fontId="6" fillId="4" borderId="52" xfId="0" applyNumberFormat="1" applyFont="1" applyFill="1" applyBorder="1" applyAlignment="1">
      <alignment wrapText="1"/>
    </xf>
    <xf numFmtId="2" fontId="6" fillId="4" borderId="33" xfId="0" applyNumberFormat="1" applyFont="1" applyFill="1" applyBorder="1" applyAlignment="1">
      <alignment horizontal="center" vertical="center" wrapText="1"/>
    </xf>
    <xf numFmtId="2" fontId="6" fillId="4" borderId="18" xfId="0" applyNumberFormat="1" applyFont="1" applyFill="1" applyBorder="1" applyAlignment="1">
      <alignment horizontal="center" vertical="center" wrapText="1"/>
    </xf>
    <xf numFmtId="2" fontId="6" fillId="4" borderId="53" xfId="0" applyNumberFormat="1" applyFont="1" applyFill="1" applyBorder="1" applyAlignment="1">
      <alignment horizontal="center" vertical="center" wrapText="1"/>
    </xf>
    <xf numFmtId="0" fontId="6" fillId="4" borderId="19" xfId="0" applyFont="1" applyFill="1" applyBorder="1" applyAlignment="1">
      <alignment horizontal="center" vertical="center" wrapText="1"/>
    </xf>
    <xf numFmtId="2" fontId="6" fillId="4" borderId="14" xfId="0" applyNumberFormat="1" applyFont="1" applyFill="1" applyBorder="1" applyAlignment="1">
      <alignment wrapText="1"/>
    </xf>
    <xf numFmtId="2" fontId="6" fillId="4" borderId="54" xfId="0" applyNumberFormat="1" applyFont="1" applyFill="1" applyBorder="1" applyAlignment="1">
      <alignment horizontal="center" vertical="center" wrapText="1"/>
    </xf>
    <xf numFmtId="0" fontId="6" fillId="4" borderId="55" xfId="0" applyFont="1" applyFill="1" applyBorder="1" applyAlignment="1">
      <alignment wrapText="1"/>
    </xf>
    <xf numFmtId="2" fontId="6" fillId="6" borderId="19" xfId="0" applyNumberFormat="1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wrapText="1"/>
    </xf>
    <xf numFmtId="0" fontId="6" fillId="4" borderId="35" xfId="0" applyFont="1" applyFill="1" applyBorder="1" applyAlignment="1">
      <alignment wrapText="1"/>
    </xf>
    <xf numFmtId="49" fontId="6" fillId="6" borderId="5" xfId="0" applyNumberFormat="1" applyFont="1" applyFill="1" applyBorder="1" applyAlignment="1">
      <alignment horizontal="center" vertical="center" wrapText="1"/>
    </xf>
    <xf numFmtId="2" fontId="6" fillId="6" borderId="14" xfId="0" applyNumberFormat="1" applyFont="1" applyFill="1" applyBorder="1" applyAlignment="1">
      <alignment horizontal="center" vertical="center" wrapText="1"/>
    </xf>
    <xf numFmtId="2" fontId="6" fillId="6" borderId="56" xfId="0" applyNumberFormat="1" applyFont="1" applyFill="1" applyBorder="1" applyAlignment="1">
      <alignment horizontal="center" vertical="center" wrapText="1"/>
    </xf>
    <xf numFmtId="49" fontId="6" fillId="4" borderId="52" xfId="0" applyNumberFormat="1" applyFont="1" applyFill="1" applyBorder="1" applyAlignment="1">
      <alignment horizontal="center" vertical="center" wrapText="1"/>
    </xf>
    <xf numFmtId="49" fontId="6" fillId="6" borderId="10" xfId="0" applyNumberFormat="1" applyFont="1" applyFill="1" applyBorder="1" applyAlignment="1">
      <alignment horizontal="center" vertical="center" wrapText="1"/>
    </xf>
    <xf numFmtId="49" fontId="6" fillId="6" borderId="18" xfId="0" applyNumberFormat="1" applyFont="1" applyFill="1" applyBorder="1" applyAlignment="1">
      <alignment horizontal="center" vertical="center" wrapText="1"/>
    </xf>
    <xf numFmtId="49" fontId="6" fillId="6" borderId="17" xfId="0" applyNumberFormat="1" applyFont="1" applyFill="1" applyBorder="1" applyAlignment="1">
      <alignment horizontal="center" vertical="center" wrapText="1"/>
    </xf>
    <xf numFmtId="49" fontId="6" fillId="4" borderId="6" xfId="0" applyNumberFormat="1" applyFont="1" applyFill="1" applyBorder="1" applyAlignment="1">
      <alignment horizontal="center" vertical="center" wrapText="1"/>
    </xf>
    <xf numFmtId="49" fontId="6" fillId="4" borderId="8" xfId="0" applyNumberFormat="1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wrapText="1"/>
    </xf>
    <xf numFmtId="0" fontId="6" fillId="4" borderId="48" xfId="0" applyFont="1" applyFill="1" applyBorder="1" applyAlignment="1">
      <alignment wrapText="1"/>
    </xf>
    <xf numFmtId="0" fontId="6" fillId="4" borderId="17" xfId="0" applyFont="1" applyFill="1" applyBorder="1" applyAlignment="1">
      <alignment horizontal="left" vertical="top" wrapText="1"/>
    </xf>
    <xf numFmtId="0" fontId="6" fillId="4" borderId="10" xfId="0" applyFont="1" applyFill="1" applyBorder="1" applyAlignment="1">
      <alignment vertical="top" wrapText="1"/>
    </xf>
    <xf numFmtId="0" fontId="9" fillId="4" borderId="10" xfId="7" applyFont="1" applyFill="1" applyBorder="1" applyAlignment="1">
      <alignment horizontal="center" vertical="center" wrapText="1"/>
    </xf>
    <xf numFmtId="2" fontId="6" fillId="4" borderId="8" xfId="0" applyNumberFormat="1" applyFont="1" applyFill="1" applyBorder="1" applyAlignment="1">
      <alignment horizontal="center" vertical="center" wrapText="1"/>
    </xf>
    <xf numFmtId="2" fontId="6" fillId="6" borderId="8" xfId="0" applyNumberFormat="1" applyFont="1" applyFill="1" applyBorder="1" applyAlignment="1">
      <alignment horizontal="center" vertical="center" wrapText="1"/>
    </xf>
    <xf numFmtId="2" fontId="9" fillId="4" borderId="17" xfId="0" applyNumberFormat="1" applyFont="1" applyFill="1" applyBorder="1" applyAlignment="1">
      <alignment horizontal="center" vertical="center"/>
    </xf>
    <xf numFmtId="2" fontId="9" fillId="4" borderId="10" xfId="0" applyNumberFormat="1" applyFont="1" applyFill="1" applyBorder="1" applyAlignment="1">
      <alignment horizontal="center" vertical="center"/>
    </xf>
    <xf numFmtId="2" fontId="6" fillId="4" borderId="11" xfId="0" applyNumberFormat="1" applyFont="1" applyFill="1" applyBorder="1" applyAlignment="1">
      <alignment horizontal="center" vertical="center" wrapText="1"/>
    </xf>
    <xf numFmtId="2" fontId="6" fillId="6" borderId="11" xfId="0" applyNumberFormat="1" applyFont="1" applyFill="1" applyBorder="1" applyAlignment="1">
      <alignment horizontal="center" vertical="center" wrapText="1"/>
    </xf>
    <xf numFmtId="49" fontId="6" fillId="0" borderId="11" xfId="0" applyNumberFormat="1" applyFont="1" applyBorder="1" applyAlignment="1">
      <alignment horizontal="center" vertical="center" wrapText="1"/>
    </xf>
    <xf numFmtId="49" fontId="6" fillId="4" borderId="43" xfId="0" applyNumberFormat="1" applyFont="1" applyFill="1" applyBorder="1" applyAlignment="1">
      <alignment horizontal="center" vertical="center" wrapText="1"/>
    </xf>
    <xf numFmtId="0" fontId="6" fillId="4" borderId="44" xfId="0" applyFont="1" applyFill="1" applyBorder="1" applyAlignment="1">
      <alignment horizontal="center" vertical="center" wrapText="1"/>
    </xf>
    <xf numFmtId="0" fontId="6" fillId="4" borderId="43" xfId="0" applyFont="1" applyFill="1" applyBorder="1" applyAlignment="1">
      <alignment horizontal="center" vertical="center" wrapText="1"/>
    </xf>
    <xf numFmtId="0" fontId="10" fillId="4" borderId="44" xfId="0" applyFont="1" applyFill="1" applyBorder="1" applyAlignment="1">
      <alignment vertical="top" wrapText="1"/>
    </xf>
    <xf numFmtId="0" fontId="9" fillId="4" borderId="44" xfId="7" applyFont="1" applyFill="1" applyBorder="1" applyAlignment="1">
      <alignment horizontal="center" vertical="center" wrapText="1"/>
    </xf>
    <xf numFmtId="49" fontId="6" fillId="4" borderId="57" xfId="0" applyNumberFormat="1" applyFont="1" applyFill="1" applyBorder="1" applyAlignment="1">
      <alignment horizontal="center" vertical="center" wrapText="1"/>
    </xf>
    <xf numFmtId="49" fontId="6" fillId="4" borderId="58" xfId="0" applyNumberFormat="1" applyFont="1" applyFill="1" applyBorder="1" applyAlignment="1">
      <alignment horizontal="center" vertical="center" wrapText="1"/>
    </xf>
    <xf numFmtId="2" fontId="6" fillId="4" borderId="9" xfId="0" applyNumberFormat="1" applyFont="1" applyFill="1" applyBorder="1" applyAlignment="1">
      <alignment wrapText="1"/>
    </xf>
    <xf numFmtId="2" fontId="6" fillId="4" borderId="13" xfId="0" applyNumberFormat="1" applyFont="1" applyFill="1" applyBorder="1" applyAlignment="1">
      <alignment wrapText="1"/>
    </xf>
    <xf numFmtId="4" fontId="6" fillId="6" borderId="5" xfId="0" applyNumberFormat="1" applyFont="1" applyFill="1" applyBorder="1" applyAlignment="1">
      <alignment horizontal="center" vertical="center" wrapText="1"/>
    </xf>
    <xf numFmtId="1" fontId="6" fillId="4" borderId="26" xfId="0" applyNumberFormat="1" applyFont="1" applyFill="1" applyBorder="1" applyAlignment="1">
      <alignment horizontal="center" vertical="center" wrapText="1"/>
    </xf>
    <xf numFmtId="0" fontId="6" fillId="4" borderId="17" xfId="7" applyFont="1" applyFill="1" applyBorder="1" applyAlignment="1">
      <alignment horizontal="center" vertical="center" wrapText="1"/>
    </xf>
    <xf numFmtId="2" fontId="6" fillId="6" borderId="18" xfId="0" applyNumberFormat="1" applyFont="1" applyFill="1" applyBorder="1" applyAlignment="1">
      <alignment horizontal="center" vertical="center" wrapText="1"/>
    </xf>
    <xf numFmtId="4" fontId="6" fillId="6" borderId="9" xfId="0" applyNumberFormat="1" applyFont="1" applyFill="1" applyBorder="1" applyAlignment="1">
      <alignment horizontal="center" vertical="center" wrapText="1"/>
    </xf>
    <xf numFmtId="4" fontId="6" fillId="6" borderId="13" xfId="0" applyNumberFormat="1" applyFont="1" applyFill="1" applyBorder="1" applyAlignment="1">
      <alignment horizontal="center" vertical="center" wrapText="1"/>
    </xf>
    <xf numFmtId="4" fontId="6" fillId="6" borderId="8" xfId="0" applyNumberFormat="1" applyFont="1" applyFill="1" applyBorder="1" applyAlignment="1">
      <alignment horizontal="center" vertical="center" wrapText="1"/>
    </xf>
    <xf numFmtId="2" fontId="6" fillId="6" borderId="59" xfId="0" applyNumberFormat="1" applyFont="1" applyFill="1" applyBorder="1" applyAlignment="1">
      <alignment horizontal="center" vertical="center" wrapText="1"/>
    </xf>
    <xf numFmtId="2" fontId="6" fillId="6" borderId="7" xfId="0" applyNumberFormat="1" applyFont="1" applyFill="1" applyBorder="1" applyAlignment="1">
      <alignment horizontal="center" vertical="center" wrapText="1"/>
    </xf>
    <xf numFmtId="2" fontId="6" fillId="6" borderId="13" xfId="0" applyNumberFormat="1" applyFont="1" applyFill="1" applyBorder="1" applyAlignment="1">
      <alignment horizontal="center" vertical="center" wrapText="1"/>
    </xf>
    <xf numFmtId="4" fontId="6" fillId="6" borderId="51" xfId="0" applyNumberFormat="1" applyFont="1" applyFill="1" applyBorder="1" applyAlignment="1">
      <alignment horizontal="center" vertical="center" wrapText="1"/>
    </xf>
    <xf numFmtId="2" fontId="6" fillId="6" borderId="5" xfId="0" applyNumberFormat="1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wrapText="1"/>
    </xf>
    <xf numFmtId="2" fontId="6" fillId="6" borderId="10" xfId="0" applyNumberFormat="1" applyFont="1" applyFill="1" applyBorder="1" applyAlignment="1">
      <alignment horizontal="center" vertical="center" wrapText="1"/>
    </xf>
    <xf numFmtId="2" fontId="6" fillId="7" borderId="19" xfId="0" applyNumberFormat="1" applyFont="1" applyFill="1" applyBorder="1" applyAlignment="1">
      <alignment horizontal="center" vertical="center" wrapText="1"/>
    </xf>
    <xf numFmtId="2" fontId="6" fillId="4" borderId="55" xfId="0" applyNumberFormat="1" applyFont="1" applyFill="1" applyBorder="1" applyAlignment="1">
      <alignment horizontal="center" vertical="center" wrapText="1"/>
    </xf>
    <xf numFmtId="2" fontId="6" fillId="6" borderId="51" xfId="0" applyNumberFormat="1" applyFont="1" applyFill="1" applyBorder="1" applyAlignment="1">
      <alignment horizontal="center" vertical="center" wrapText="1"/>
    </xf>
    <xf numFmtId="2" fontId="6" fillId="4" borderId="47" xfId="0" applyNumberFormat="1" applyFont="1" applyFill="1" applyBorder="1" applyAlignment="1">
      <alignment horizontal="center" vertical="center" wrapText="1"/>
    </xf>
    <xf numFmtId="2" fontId="6" fillId="6" borderId="9" xfId="0" applyNumberFormat="1" applyFont="1" applyFill="1" applyBorder="1" applyAlignment="1">
      <alignment horizontal="center" vertical="center" wrapText="1"/>
    </xf>
    <xf numFmtId="2" fontId="6" fillId="7" borderId="5" xfId="0" applyNumberFormat="1" applyFont="1" applyFill="1" applyBorder="1" applyAlignment="1">
      <alignment horizontal="center" vertical="center" wrapText="1"/>
    </xf>
    <xf numFmtId="2" fontId="6" fillId="6" borderId="20" xfId="0" applyNumberFormat="1" applyFont="1" applyFill="1" applyBorder="1" applyAlignment="1">
      <alignment horizontal="center" vertical="center" wrapText="1"/>
    </xf>
    <xf numFmtId="2" fontId="6" fillId="6" borderId="52" xfId="0" applyNumberFormat="1" applyFont="1" applyFill="1" applyBorder="1" applyAlignment="1">
      <alignment horizontal="center" vertical="center" wrapText="1"/>
    </xf>
    <xf numFmtId="2" fontId="6" fillId="4" borderId="35" xfId="0" applyNumberFormat="1" applyFont="1" applyFill="1" applyBorder="1" applyAlignment="1">
      <alignment horizontal="center" vertical="center" wrapText="1"/>
    </xf>
    <xf numFmtId="2" fontId="6" fillId="4" borderId="60" xfId="0" applyNumberFormat="1" applyFont="1" applyFill="1" applyBorder="1" applyAlignment="1">
      <alignment horizontal="center" vertical="center" wrapText="1"/>
    </xf>
    <xf numFmtId="0" fontId="6" fillId="4" borderId="19" xfId="0" applyFont="1" applyFill="1" applyBorder="1" applyAlignment="1">
      <alignment wrapText="1"/>
    </xf>
    <xf numFmtId="0" fontId="6" fillId="4" borderId="61" xfId="0" applyFont="1" applyFill="1" applyBorder="1" applyAlignment="1">
      <alignment wrapText="1"/>
    </xf>
    <xf numFmtId="0" fontId="6" fillId="6" borderId="19" xfId="0" applyFont="1" applyFill="1" applyBorder="1" applyAlignment="1">
      <alignment wrapText="1"/>
    </xf>
    <xf numFmtId="2" fontId="6" fillId="8" borderId="51" xfId="0" applyNumberFormat="1" applyFont="1" applyFill="1" applyBorder="1" applyAlignment="1">
      <alignment horizontal="center" vertical="center" wrapText="1"/>
    </xf>
    <xf numFmtId="2" fontId="6" fillId="8" borderId="0" xfId="0" applyNumberFormat="1" applyFont="1" applyFill="1" applyAlignment="1">
      <alignment wrapText="1"/>
    </xf>
    <xf numFmtId="0" fontId="34" fillId="4" borderId="5" xfId="0" applyFont="1" applyFill="1" applyBorder="1" applyAlignment="1">
      <alignment horizontal="center" vertical="center" wrapText="1"/>
    </xf>
    <xf numFmtId="49" fontId="34" fillId="4" borderId="51" xfId="0" applyNumberFormat="1" applyFont="1" applyFill="1" applyBorder="1" applyAlignment="1">
      <alignment horizontal="center" vertical="center" wrapText="1"/>
    </xf>
    <xf numFmtId="49" fontId="34" fillId="4" borderId="11" xfId="0" applyNumberFormat="1" applyFont="1" applyFill="1" applyBorder="1" applyAlignment="1">
      <alignment horizontal="center" vertical="center" wrapText="1"/>
    </xf>
    <xf numFmtId="49" fontId="34" fillId="4" borderId="55" xfId="0" applyNumberFormat="1" applyFont="1" applyFill="1" applyBorder="1" applyAlignment="1">
      <alignment horizontal="center" vertical="center" wrapText="1"/>
    </xf>
    <xf numFmtId="4" fontId="6" fillId="9" borderId="0" xfId="0" applyNumberFormat="1" applyFont="1" applyFill="1" applyAlignment="1">
      <alignment wrapText="1"/>
    </xf>
    <xf numFmtId="2" fontId="6" fillId="10" borderId="0" xfId="0" applyNumberFormat="1" applyFont="1" applyFill="1" applyAlignment="1">
      <alignment wrapText="1"/>
    </xf>
    <xf numFmtId="2" fontId="6" fillId="6" borderId="55" xfId="0" applyNumberFormat="1" applyFont="1" applyFill="1" applyBorder="1" applyAlignment="1">
      <alignment horizontal="center" vertical="center" wrapText="1"/>
    </xf>
    <xf numFmtId="2" fontId="6" fillId="4" borderId="45" xfId="0" applyNumberFormat="1" applyFont="1" applyFill="1" applyBorder="1" applyAlignment="1">
      <alignment horizontal="center" vertical="center" wrapText="1"/>
    </xf>
    <xf numFmtId="0" fontId="6" fillId="4" borderId="56" xfId="0" applyFont="1" applyFill="1" applyBorder="1" applyAlignment="1">
      <alignment horizontal="center" vertical="center" wrapText="1"/>
    </xf>
    <xf numFmtId="2" fontId="6" fillId="4" borderId="20" xfId="0" applyNumberFormat="1" applyFont="1" applyFill="1" applyBorder="1" applyAlignment="1">
      <alignment horizontal="center" vertical="center" wrapText="1"/>
    </xf>
    <xf numFmtId="2" fontId="6" fillId="4" borderId="37" xfId="0" applyNumberFormat="1" applyFont="1" applyFill="1" applyBorder="1" applyAlignment="1">
      <alignment horizontal="center" vertical="center" wrapText="1"/>
    </xf>
    <xf numFmtId="2" fontId="6" fillId="4" borderId="52" xfId="0" applyNumberFormat="1" applyFont="1" applyFill="1" applyBorder="1" applyAlignment="1">
      <alignment horizontal="center" vertical="center" wrapText="1"/>
    </xf>
    <xf numFmtId="2" fontId="6" fillId="4" borderId="50" xfId="0" applyNumberFormat="1" applyFont="1" applyFill="1" applyBorder="1" applyAlignment="1">
      <alignment horizontal="center" vertical="center" wrapText="1"/>
    </xf>
    <xf numFmtId="49" fontId="6" fillId="9" borderId="0" xfId="0" applyNumberFormat="1" applyFont="1" applyFill="1" applyAlignment="1">
      <alignment wrapText="1"/>
    </xf>
    <xf numFmtId="2" fontId="6" fillId="7" borderId="14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wrapText="1"/>
    </xf>
    <xf numFmtId="0" fontId="6" fillId="11" borderId="11" xfId="0" applyFont="1" applyFill="1" applyBorder="1" applyAlignment="1">
      <alignment horizontal="left" vertical="top" wrapText="1"/>
    </xf>
    <xf numFmtId="0" fontId="34" fillId="11" borderId="11" xfId="0" applyFont="1" applyFill="1" applyBorder="1" applyAlignment="1">
      <alignment horizontal="left" vertical="top" wrapText="1"/>
    </xf>
    <xf numFmtId="0" fontId="6" fillId="11" borderId="14" xfId="0" applyFont="1" applyFill="1" applyBorder="1" applyAlignment="1">
      <alignment vertical="top" wrapText="1"/>
    </xf>
    <xf numFmtId="0" fontId="34" fillId="11" borderId="14" xfId="0" applyFont="1" applyFill="1" applyBorder="1" applyAlignment="1">
      <alignment vertical="top" wrapText="1"/>
    </xf>
    <xf numFmtId="49" fontId="6" fillId="11" borderId="22" xfId="0" applyNumberFormat="1" applyFont="1" applyFill="1" applyBorder="1" applyAlignment="1">
      <alignment horizontal="center" vertical="center" wrapText="1"/>
    </xf>
    <xf numFmtId="0" fontId="6" fillId="11" borderId="14" xfId="0" applyFont="1" applyFill="1" applyBorder="1" applyAlignment="1">
      <alignment horizontal="left" vertical="top" wrapText="1"/>
    </xf>
    <xf numFmtId="0" fontId="9" fillId="11" borderId="14" xfId="7" applyFont="1" applyFill="1" applyBorder="1" applyAlignment="1">
      <alignment horizontal="center" vertical="center" wrapText="1"/>
    </xf>
    <xf numFmtId="49" fontId="6" fillId="11" borderId="26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left" vertical="top" wrapText="1"/>
    </xf>
    <xf numFmtId="2" fontId="6" fillId="11" borderId="5" xfId="0" applyNumberFormat="1" applyFont="1" applyFill="1" applyBorder="1" applyAlignment="1">
      <alignment horizontal="left" vertical="top" wrapText="1"/>
    </xf>
    <xf numFmtId="2" fontId="6" fillId="0" borderId="5" xfId="0" applyNumberFormat="1" applyFont="1" applyBorder="1" applyAlignment="1">
      <alignment horizontal="left" vertical="top" wrapText="1"/>
    </xf>
    <xf numFmtId="2" fontId="34" fillId="0" borderId="5" xfId="0" applyNumberFormat="1" applyFont="1" applyBorder="1" applyAlignment="1">
      <alignment horizontal="left" vertical="top" wrapText="1"/>
    </xf>
    <xf numFmtId="4" fontId="33" fillId="4" borderId="12" xfId="0" applyNumberFormat="1" applyFont="1" applyFill="1" applyBorder="1" applyAlignment="1">
      <alignment horizontal="center" wrapText="1"/>
    </xf>
    <xf numFmtId="4" fontId="33" fillId="0" borderId="12" xfId="0" applyNumberFormat="1" applyFont="1" applyBorder="1" applyAlignment="1">
      <alignment horizontal="center" wrapText="1"/>
    </xf>
    <xf numFmtId="0" fontId="35" fillId="0" borderId="0" xfId="0" applyFont="1"/>
    <xf numFmtId="0" fontId="6" fillId="0" borderId="0" xfId="0" applyFont="1" applyAlignment="1">
      <alignment horizontal="center" wrapText="1"/>
    </xf>
    <xf numFmtId="0" fontId="33" fillId="0" borderId="5" xfId="0" applyFont="1" applyBorder="1" applyAlignment="1">
      <alignment horizontal="centerContinuous" vertical="center" wrapText="1"/>
    </xf>
    <xf numFmtId="0" fontId="33" fillId="0" borderId="14" xfId="0" applyFont="1" applyBorder="1" applyAlignment="1">
      <alignment horizontal="centerContinuous" vertical="center" wrapText="1"/>
    </xf>
    <xf numFmtId="0" fontId="33" fillId="0" borderId="51" xfId="0" applyFont="1" applyBorder="1" applyAlignment="1">
      <alignment horizontal="centerContinuous" vertical="center" wrapText="1"/>
    </xf>
    <xf numFmtId="2" fontId="6" fillId="0" borderId="19" xfId="0" applyNumberFormat="1" applyFont="1" applyBorder="1" applyAlignment="1">
      <alignment horizontal="center" vertical="center" wrapText="1"/>
    </xf>
    <xf numFmtId="2" fontId="6" fillId="0" borderId="14" xfId="0" applyNumberFormat="1" applyFont="1" applyBorder="1" applyAlignment="1">
      <alignment horizontal="center" vertical="center" wrapText="1"/>
    </xf>
    <xf numFmtId="2" fontId="6" fillId="0" borderId="11" xfId="0" applyNumberFormat="1" applyFont="1" applyBorder="1" applyAlignment="1">
      <alignment horizontal="center" vertical="center" wrapText="1"/>
    </xf>
    <xf numFmtId="2" fontId="6" fillId="12" borderId="19" xfId="0" applyNumberFormat="1" applyFont="1" applyFill="1" applyBorder="1" applyAlignment="1">
      <alignment horizontal="center" vertical="center" wrapText="1"/>
    </xf>
    <xf numFmtId="2" fontId="6" fillId="12" borderId="11" xfId="0" applyNumberFormat="1" applyFont="1" applyFill="1" applyBorder="1" applyAlignment="1">
      <alignment horizontal="center" vertical="center" wrapText="1"/>
    </xf>
    <xf numFmtId="49" fontId="6" fillId="12" borderId="10" xfId="0" applyNumberFormat="1" applyFont="1" applyFill="1" applyBorder="1" applyAlignment="1">
      <alignment horizontal="center" vertical="center" wrapText="1"/>
    </xf>
    <xf numFmtId="49" fontId="6" fillId="12" borderId="18" xfId="0" applyNumberFormat="1" applyFont="1" applyFill="1" applyBorder="1" applyAlignment="1">
      <alignment horizontal="center" vertical="center" wrapText="1"/>
    </xf>
    <xf numFmtId="49" fontId="6" fillId="12" borderId="17" xfId="0" applyNumberFormat="1" applyFont="1" applyFill="1" applyBorder="1" applyAlignment="1">
      <alignment horizontal="center" vertical="center" wrapText="1"/>
    </xf>
    <xf numFmtId="2" fontId="6" fillId="12" borderId="10" xfId="0" applyNumberFormat="1" applyFont="1" applyFill="1" applyBorder="1" applyAlignment="1">
      <alignment horizontal="center" vertical="center" wrapText="1"/>
    </xf>
    <xf numFmtId="2" fontId="6" fillId="12" borderId="18" xfId="0" applyNumberFormat="1" applyFont="1" applyFill="1" applyBorder="1" applyAlignment="1">
      <alignment horizontal="center" vertical="center" wrapText="1"/>
    </xf>
    <xf numFmtId="2" fontId="6" fillId="4" borderId="14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wrapText="1"/>
    </xf>
    <xf numFmtId="4" fontId="33" fillId="4" borderId="1" xfId="0" applyNumberFormat="1" applyFont="1" applyFill="1" applyBorder="1" applyAlignment="1">
      <alignment horizontal="center" wrapText="1"/>
    </xf>
    <xf numFmtId="4" fontId="10" fillId="4" borderId="1" xfId="0" applyNumberFormat="1" applyFont="1" applyFill="1" applyBorder="1" applyAlignment="1">
      <alignment horizontal="center" wrapText="1"/>
    </xf>
    <xf numFmtId="4" fontId="36" fillId="4" borderId="1" xfId="0" applyNumberFormat="1" applyFont="1" applyFill="1" applyBorder="1" applyAlignment="1">
      <alignment horizontal="center" wrapText="1"/>
    </xf>
    <xf numFmtId="4" fontId="6" fillId="4" borderId="1" xfId="0" applyNumberFormat="1" applyFont="1" applyFill="1" applyBorder="1" applyAlignment="1">
      <alignment horizontal="center" wrapText="1"/>
    </xf>
    <xf numFmtId="0" fontId="6" fillId="0" borderId="0" xfId="0" applyFont="1" applyAlignment="1">
      <alignment horizontal="center" vertical="center" wrapText="1"/>
    </xf>
    <xf numFmtId="2" fontId="6" fillId="0" borderId="0" xfId="0" applyNumberFormat="1" applyFont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49" fontId="6" fillId="4" borderId="24" xfId="0" applyNumberFormat="1" applyFont="1" applyFill="1" applyBorder="1" applyAlignment="1">
      <alignment horizontal="center" vertical="center" wrapText="1"/>
    </xf>
    <xf numFmtId="0" fontId="6" fillId="4" borderId="62" xfId="0" applyFont="1" applyFill="1" applyBorder="1" applyAlignment="1">
      <alignment horizontal="center" vertical="center" wrapText="1"/>
    </xf>
    <xf numFmtId="0" fontId="6" fillId="4" borderId="55" xfId="0" applyFont="1" applyFill="1" applyBorder="1" applyAlignment="1">
      <alignment horizontal="center" vertical="center" wrapText="1"/>
    </xf>
    <xf numFmtId="49" fontId="6" fillId="4" borderId="63" xfId="0" applyNumberFormat="1" applyFont="1" applyFill="1" applyBorder="1" applyAlignment="1">
      <alignment horizontal="center" vertical="center" wrapText="1"/>
    </xf>
    <xf numFmtId="49" fontId="6" fillId="11" borderId="11" xfId="0" applyNumberFormat="1" applyFont="1" applyFill="1" applyBorder="1" applyAlignment="1">
      <alignment horizontal="center" vertical="center" wrapText="1"/>
    </xf>
    <xf numFmtId="49" fontId="6" fillId="11" borderId="5" xfId="0" applyNumberFormat="1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wrapText="1"/>
    </xf>
    <xf numFmtId="0" fontId="6" fillId="11" borderId="14" xfId="0" applyFont="1" applyFill="1" applyBorder="1" applyAlignment="1">
      <alignment horizontal="center" vertical="center" wrapText="1"/>
    </xf>
    <xf numFmtId="0" fontId="6" fillId="11" borderId="11" xfId="0" applyFont="1" applyFill="1" applyBorder="1" applyAlignment="1">
      <alignment horizontal="center" vertical="center" wrapText="1"/>
    </xf>
    <xf numFmtId="0" fontId="6" fillId="0" borderId="42" xfId="0" applyFont="1" applyBorder="1" applyAlignment="1">
      <alignment wrapText="1"/>
    </xf>
    <xf numFmtId="0" fontId="6" fillId="4" borderId="33" xfId="0" applyFont="1" applyFill="1" applyBorder="1" applyAlignment="1">
      <alignment wrapText="1"/>
    </xf>
    <xf numFmtId="0" fontId="6" fillId="4" borderId="56" xfId="0" applyFont="1" applyFill="1" applyBorder="1" applyAlignment="1">
      <alignment horizontal="left" vertical="top" wrapText="1"/>
    </xf>
    <xf numFmtId="0" fontId="6" fillId="4" borderId="55" xfId="0" applyFont="1" applyFill="1" applyBorder="1" applyAlignment="1">
      <alignment horizontal="left" vertical="top" wrapText="1"/>
    </xf>
    <xf numFmtId="0" fontId="6" fillId="4" borderId="25" xfId="0" applyFont="1" applyFill="1" applyBorder="1" applyAlignment="1">
      <alignment horizontal="center" vertical="center" wrapText="1"/>
    </xf>
    <xf numFmtId="49" fontId="6" fillId="4" borderId="64" xfId="0" applyNumberFormat="1" applyFont="1" applyFill="1" applyBorder="1" applyAlignment="1">
      <alignment horizontal="center" vertical="center" wrapText="1"/>
    </xf>
    <xf numFmtId="0" fontId="6" fillId="11" borderId="15" xfId="0" applyFont="1" applyFill="1" applyBorder="1" applyAlignment="1">
      <alignment vertical="top" wrapText="1"/>
    </xf>
    <xf numFmtId="0" fontId="6" fillId="4" borderId="14" xfId="0" applyFont="1" applyFill="1" applyBorder="1" applyAlignment="1">
      <alignment horizontal="center" wrapText="1"/>
    </xf>
    <xf numFmtId="2" fontId="6" fillId="12" borderId="14" xfId="0" applyNumberFormat="1" applyFont="1" applyFill="1" applyBorder="1" applyAlignment="1">
      <alignment horizontal="center" vertical="center" wrapText="1"/>
    </xf>
    <xf numFmtId="49" fontId="6" fillId="4" borderId="15" xfId="0" applyNumberFormat="1" applyFont="1" applyFill="1" applyBorder="1" applyAlignment="1">
      <alignment horizontal="center" vertical="center" wrapText="1"/>
    </xf>
    <xf numFmtId="2" fontId="6" fillId="12" borderId="17" xfId="0" applyNumberFormat="1" applyFont="1" applyFill="1" applyBorder="1" applyAlignment="1">
      <alignment horizontal="center" vertical="center" wrapText="1"/>
    </xf>
    <xf numFmtId="2" fontId="6" fillId="13" borderId="24" xfId="0" applyNumberFormat="1" applyFont="1" applyFill="1" applyBorder="1" applyAlignment="1">
      <alignment horizontal="center" vertical="center" wrapText="1"/>
    </xf>
    <xf numFmtId="2" fontId="6" fillId="13" borderId="14" xfId="0" applyNumberFormat="1" applyFont="1" applyFill="1" applyBorder="1" applyAlignment="1">
      <alignment horizontal="center" vertical="center" wrapText="1"/>
    </xf>
    <xf numFmtId="4" fontId="6" fillId="13" borderId="14" xfId="0" applyNumberFormat="1" applyFont="1" applyFill="1" applyBorder="1" applyAlignment="1">
      <alignment horizontal="center" vertical="center" wrapText="1"/>
    </xf>
    <xf numFmtId="2" fontId="6" fillId="4" borderId="15" xfId="0" applyNumberFormat="1" applyFont="1" applyFill="1" applyBorder="1" applyAlignment="1">
      <alignment horizontal="center" vertical="center" wrapText="1"/>
    </xf>
    <xf numFmtId="2" fontId="6" fillId="4" borderId="24" xfId="0" applyNumberFormat="1" applyFont="1" applyFill="1" applyBorder="1" applyAlignment="1">
      <alignment horizontal="center" vertical="center" wrapText="1"/>
    </xf>
    <xf numFmtId="2" fontId="6" fillId="11" borderId="14" xfId="0" applyNumberFormat="1" applyFont="1" applyFill="1" applyBorder="1" applyAlignment="1">
      <alignment horizontal="center" vertical="center" wrapText="1"/>
    </xf>
    <xf numFmtId="2" fontId="6" fillId="6" borderId="17" xfId="0" applyNumberFormat="1" applyFont="1" applyFill="1" applyBorder="1" applyAlignment="1">
      <alignment horizontal="center" vertical="center" wrapText="1"/>
    </xf>
    <xf numFmtId="2" fontId="6" fillId="6" borderId="15" xfId="0" applyNumberFormat="1" applyFont="1" applyFill="1" applyBorder="1" applyAlignment="1">
      <alignment horizontal="center" vertical="center" wrapText="1"/>
    </xf>
    <xf numFmtId="0" fontId="6" fillId="4" borderId="65" xfId="0" applyFont="1" applyFill="1" applyBorder="1" applyAlignment="1">
      <alignment horizontal="center" vertical="center" wrapText="1"/>
    </xf>
    <xf numFmtId="0" fontId="6" fillId="4" borderId="19" xfId="0" applyFont="1" applyFill="1" applyBorder="1" applyAlignment="1">
      <alignment horizontal="center" wrapText="1"/>
    </xf>
    <xf numFmtId="49" fontId="6" fillId="4" borderId="61" xfId="0" applyNumberFormat="1" applyFont="1" applyFill="1" applyBorder="1" applyAlignment="1">
      <alignment horizontal="center" vertical="center" wrapText="1"/>
    </xf>
    <xf numFmtId="49" fontId="6" fillId="4" borderId="18" xfId="0" applyNumberFormat="1" applyFont="1" applyFill="1" applyBorder="1" applyAlignment="1">
      <alignment horizontal="center" vertical="center" wrapText="1"/>
    </xf>
    <xf numFmtId="4" fontId="6" fillId="12" borderId="18" xfId="0" applyNumberFormat="1" applyFont="1" applyFill="1" applyBorder="1" applyAlignment="1">
      <alignment horizontal="center" vertical="center" wrapText="1"/>
    </xf>
    <xf numFmtId="0" fontId="6" fillId="4" borderId="53" xfId="0" applyFont="1" applyFill="1" applyBorder="1" applyAlignment="1">
      <alignment wrapText="1"/>
    </xf>
    <xf numFmtId="2" fontId="6" fillId="14" borderId="65" xfId="0" applyNumberFormat="1" applyFont="1" applyFill="1" applyBorder="1" applyAlignment="1">
      <alignment horizontal="center" vertical="center" wrapText="1"/>
    </xf>
    <xf numFmtId="2" fontId="6" fillId="4" borderId="61" xfId="0" applyNumberFormat="1" applyFont="1" applyFill="1" applyBorder="1" applyAlignment="1">
      <alignment horizontal="center" vertical="center" wrapText="1"/>
    </xf>
    <xf numFmtId="2" fontId="6" fillId="14" borderId="18" xfId="0" applyNumberFormat="1" applyFont="1" applyFill="1" applyBorder="1" applyAlignment="1">
      <alignment horizontal="center" vertical="center" wrapText="1"/>
    </xf>
    <xf numFmtId="2" fontId="6" fillId="4" borderId="66" xfId="0" applyNumberFormat="1" applyFont="1" applyFill="1" applyBorder="1" applyAlignment="1">
      <alignment horizontal="center" vertical="center" wrapText="1"/>
    </xf>
    <xf numFmtId="0" fontId="6" fillId="11" borderId="19" xfId="0" applyFont="1" applyFill="1" applyBorder="1" applyAlignment="1">
      <alignment wrapText="1"/>
    </xf>
    <xf numFmtId="0" fontId="6" fillId="11" borderId="33" xfId="0" applyFont="1" applyFill="1" applyBorder="1" applyAlignment="1">
      <alignment wrapText="1"/>
    </xf>
    <xf numFmtId="2" fontId="6" fillId="6" borderId="61" xfId="0" applyNumberFormat="1" applyFont="1" applyFill="1" applyBorder="1" applyAlignment="1">
      <alignment horizontal="center" vertical="center" wrapText="1"/>
    </xf>
    <xf numFmtId="2" fontId="6" fillId="6" borderId="65" xfId="0" applyNumberFormat="1" applyFont="1" applyFill="1" applyBorder="1" applyAlignment="1">
      <alignment horizontal="center" vertical="center" wrapText="1"/>
    </xf>
    <xf numFmtId="2" fontId="6" fillId="8" borderId="14" xfId="0" applyNumberFormat="1" applyFont="1" applyFill="1" applyBorder="1" applyAlignment="1">
      <alignment horizontal="center" vertical="center" wrapText="1"/>
    </xf>
    <xf numFmtId="2" fontId="6" fillId="4" borderId="10" xfId="0" applyNumberFormat="1" applyFont="1" applyFill="1" applyBorder="1" applyAlignment="1">
      <alignment horizontal="center" vertical="center" wrapText="1"/>
    </xf>
    <xf numFmtId="2" fontId="6" fillId="13" borderId="35" xfId="0" applyNumberFormat="1" applyFont="1" applyFill="1" applyBorder="1" applyAlignment="1">
      <alignment horizontal="center" vertical="center" wrapText="1"/>
    </xf>
    <xf numFmtId="2" fontId="6" fillId="13" borderId="11" xfId="0" applyNumberFormat="1" applyFont="1" applyFill="1" applyBorder="1" applyAlignment="1">
      <alignment horizontal="center" vertical="center" wrapText="1"/>
    </xf>
    <xf numFmtId="4" fontId="6" fillId="13" borderId="11" xfId="0" applyNumberFormat="1" applyFont="1" applyFill="1" applyBorder="1" applyAlignment="1">
      <alignment horizontal="center" vertical="center" wrapText="1"/>
    </xf>
    <xf numFmtId="2" fontId="6" fillId="4" borderId="23" xfId="0" applyNumberFormat="1" applyFont="1" applyFill="1" applyBorder="1" applyAlignment="1">
      <alignment horizontal="center" vertical="center" wrapText="1"/>
    </xf>
    <xf numFmtId="2" fontId="6" fillId="11" borderId="11" xfId="0" applyNumberFormat="1" applyFont="1" applyFill="1" applyBorder="1" applyAlignment="1">
      <alignment horizontal="center" vertical="center" wrapText="1"/>
    </xf>
    <xf numFmtId="2" fontId="6" fillId="4" borderId="11" xfId="0" applyNumberFormat="1" applyFont="1" applyFill="1" applyBorder="1" applyAlignment="1">
      <alignment wrapText="1"/>
    </xf>
    <xf numFmtId="2" fontId="6" fillId="6" borderId="23" xfId="0" applyNumberFormat="1" applyFont="1" applyFill="1" applyBorder="1" applyAlignment="1">
      <alignment horizontal="center" vertical="center" wrapText="1"/>
    </xf>
    <xf numFmtId="2" fontId="6" fillId="8" borderId="11" xfId="0" applyNumberFormat="1" applyFont="1" applyFill="1" applyBorder="1" applyAlignment="1">
      <alignment horizontal="center" vertical="center" wrapText="1"/>
    </xf>
    <xf numFmtId="49" fontId="6" fillId="4" borderId="62" xfId="0" applyNumberFormat="1" applyFont="1" applyFill="1" applyBorder="1" applyAlignment="1">
      <alignment horizontal="center" vertical="center" wrapText="1"/>
    </xf>
    <xf numFmtId="49" fontId="6" fillId="6" borderId="14" xfId="0" applyNumberFormat="1" applyFont="1" applyFill="1" applyBorder="1" applyAlignment="1">
      <alignment horizontal="center" vertical="center" wrapText="1"/>
    </xf>
    <xf numFmtId="49" fontId="6" fillId="4" borderId="13" xfId="0" applyNumberFormat="1" applyFont="1" applyFill="1" applyBorder="1" applyAlignment="1">
      <alignment horizontal="center" vertical="center" wrapText="1"/>
    </xf>
    <xf numFmtId="49" fontId="6" fillId="4" borderId="17" xfId="0" applyNumberFormat="1" applyFont="1" applyFill="1" applyBorder="1" applyAlignment="1">
      <alignment horizontal="center" vertical="center" wrapText="1"/>
    </xf>
    <xf numFmtId="49" fontId="6" fillId="4" borderId="44" xfId="0" applyNumberFormat="1" applyFont="1" applyFill="1" applyBorder="1" applyAlignment="1">
      <alignment horizontal="center" vertical="center" wrapText="1"/>
    </xf>
    <xf numFmtId="49" fontId="6" fillId="11" borderId="14" xfId="0" applyNumberFormat="1" applyFont="1" applyFill="1" applyBorder="1" applyAlignment="1">
      <alignment horizontal="center" vertical="center" wrapText="1"/>
    </xf>
    <xf numFmtId="0" fontId="6" fillId="0" borderId="52" xfId="0" applyFont="1" applyBorder="1" applyAlignment="1">
      <alignment wrapText="1"/>
    </xf>
    <xf numFmtId="49" fontId="6" fillId="4" borderId="25" xfId="0" applyNumberFormat="1" applyFont="1" applyFill="1" applyBorder="1" applyAlignment="1">
      <alignment horizontal="center" vertical="center" wrapText="1"/>
    </xf>
    <xf numFmtId="0" fontId="6" fillId="4" borderId="60" xfId="0" applyFont="1" applyFill="1" applyBorder="1" applyAlignment="1">
      <alignment horizontal="center" vertical="center" wrapText="1"/>
    </xf>
    <xf numFmtId="0" fontId="6" fillId="4" borderId="54" xfId="0" applyFont="1" applyFill="1" applyBorder="1" applyAlignment="1">
      <alignment horizontal="center" vertical="center" wrapText="1"/>
    </xf>
    <xf numFmtId="2" fontId="6" fillId="4" borderId="17" xfId="0" applyNumberFormat="1" applyFont="1" applyFill="1" applyBorder="1" applyAlignment="1">
      <alignment horizontal="center" vertical="center" wrapText="1"/>
    </xf>
    <xf numFmtId="0" fontId="6" fillId="6" borderId="14" xfId="0" applyFont="1" applyFill="1" applyBorder="1" applyAlignment="1">
      <alignment wrapText="1"/>
    </xf>
    <xf numFmtId="0" fontId="6" fillId="4" borderId="14" xfId="0" applyFont="1" applyFill="1" applyBorder="1" applyAlignment="1">
      <alignment wrapText="1"/>
    </xf>
    <xf numFmtId="0" fontId="6" fillId="4" borderId="25" xfId="0" applyFont="1" applyFill="1" applyBorder="1" applyAlignment="1">
      <alignment wrapText="1"/>
    </xf>
    <xf numFmtId="2" fontId="6" fillId="4" borderId="56" xfId="0" applyNumberFormat="1" applyFont="1" applyFill="1" applyBorder="1" applyAlignment="1">
      <alignment horizontal="center" vertical="center" wrapText="1"/>
    </xf>
    <xf numFmtId="0" fontId="6" fillId="11" borderId="15" xfId="0" applyFont="1" applyFill="1" applyBorder="1" applyAlignment="1">
      <alignment horizontal="center" vertical="center" wrapText="1"/>
    </xf>
    <xf numFmtId="4" fontId="17" fillId="0" borderId="67" xfId="0" applyNumberFormat="1" applyFont="1" applyBorder="1" applyAlignment="1">
      <alignment horizontal="right" vertical="center" wrapText="1"/>
    </xf>
    <xf numFmtId="2" fontId="6" fillId="13" borderId="15" xfId="0" applyNumberFormat="1" applyFont="1" applyFill="1" applyBorder="1" applyAlignment="1">
      <alignment horizontal="center" vertical="center" wrapText="1"/>
    </xf>
    <xf numFmtId="2" fontId="6" fillId="13" borderId="23" xfId="0" applyNumberFormat="1" applyFont="1" applyFill="1" applyBorder="1" applyAlignment="1">
      <alignment horizontal="center" vertical="center" wrapText="1"/>
    </xf>
    <xf numFmtId="0" fontId="6" fillId="4" borderId="31" xfId="0" applyFont="1" applyFill="1" applyBorder="1" applyAlignment="1">
      <alignment horizontal="center" vertical="center" wrapText="1"/>
    </xf>
    <xf numFmtId="0" fontId="6" fillId="4" borderId="68" xfId="0" applyFont="1" applyFill="1" applyBorder="1" applyAlignment="1">
      <alignment horizontal="center" vertical="center" wrapText="1"/>
    </xf>
    <xf numFmtId="0" fontId="6" fillId="4" borderId="58" xfId="0" applyFont="1" applyFill="1" applyBorder="1" applyAlignment="1">
      <alignment horizontal="center" vertical="center" wrapText="1"/>
    </xf>
    <xf numFmtId="0" fontId="6" fillId="4" borderId="69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wrapText="1"/>
    </xf>
    <xf numFmtId="4" fontId="10" fillId="4" borderId="21" xfId="0" applyNumberFormat="1" applyFont="1" applyFill="1" applyBorder="1" applyAlignment="1">
      <alignment horizontal="center" wrapText="1"/>
    </xf>
    <xf numFmtId="4" fontId="10" fillId="4" borderId="28" xfId="0" applyNumberFormat="1" applyFont="1" applyFill="1" applyBorder="1" applyAlignment="1">
      <alignment horizontal="center" wrapText="1"/>
    </xf>
    <xf numFmtId="4" fontId="36" fillId="4" borderId="60" xfId="0" applyNumberFormat="1" applyFont="1" applyFill="1" applyBorder="1" applyAlignment="1">
      <alignment horizontal="center" vertical="center" wrapText="1"/>
    </xf>
    <xf numFmtId="4" fontId="36" fillId="4" borderId="56" xfId="0" applyNumberFormat="1" applyFont="1" applyFill="1" applyBorder="1" applyAlignment="1">
      <alignment horizontal="center" vertical="center" wrapText="1"/>
    </xf>
    <xf numFmtId="4" fontId="36" fillId="4" borderId="21" xfId="0" applyNumberFormat="1" applyFont="1" applyFill="1" applyBorder="1" applyAlignment="1">
      <alignment horizontal="center" vertical="center" wrapText="1"/>
    </xf>
    <xf numFmtId="4" fontId="36" fillId="4" borderId="28" xfId="0" applyNumberFormat="1" applyFont="1" applyFill="1" applyBorder="1" applyAlignment="1">
      <alignment horizontal="center" vertical="center" wrapText="1"/>
    </xf>
    <xf numFmtId="4" fontId="36" fillId="4" borderId="39" xfId="0" applyNumberFormat="1" applyFont="1" applyFill="1" applyBorder="1" applyAlignment="1">
      <alignment horizontal="center" vertical="center" wrapText="1"/>
    </xf>
    <xf numFmtId="4" fontId="6" fillId="4" borderId="5" xfId="0" applyNumberFormat="1" applyFont="1" applyFill="1" applyBorder="1" applyAlignment="1">
      <alignment horizontal="center" wrapText="1"/>
    </xf>
    <xf numFmtId="4" fontId="33" fillId="4" borderId="51" xfId="0" applyNumberFormat="1" applyFont="1" applyFill="1" applyBorder="1" applyAlignment="1">
      <alignment horizontal="center" vertical="center" wrapText="1"/>
    </xf>
    <xf numFmtId="4" fontId="33" fillId="4" borderId="11" xfId="0" applyNumberFormat="1" applyFont="1" applyFill="1" applyBorder="1" applyAlignment="1">
      <alignment horizontal="center" vertical="center" wrapText="1"/>
    </xf>
    <xf numFmtId="4" fontId="33" fillId="4" borderId="5" xfId="0" applyNumberFormat="1" applyFont="1" applyFill="1" applyBorder="1" applyAlignment="1">
      <alignment horizontal="center" vertical="center" wrapText="1"/>
    </xf>
    <xf numFmtId="4" fontId="33" fillId="4" borderId="1" xfId="0" applyNumberFormat="1" applyFont="1" applyFill="1" applyBorder="1" applyAlignment="1">
      <alignment horizontal="center" vertical="center" wrapText="1"/>
    </xf>
    <xf numFmtId="4" fontId="33" fillId="4" borderId="41" xfId="0" applyNumberFormat="1" applyFont="1" applyFill="1" applyBorder="1" applyAlignment="1">
      <alignment horizontal="center" vertical="center" wrapText="1"/>
    </xf>
    <xf numFmtId="4" fontId="6" fillId="4" borderId="64" xfId="0" applyNumberFormat="1" applyFont="1" applyFill="1" applyBorder="1" applyAlignment="1">
      <alignment horizontal="center" wrapText="1"/>
    </xf>
    <xf numFmtId="4" fontId="6" fillId="4" borderId="30" xfId="0" applyNumberFormat="1" applyFont="1" applyFill="1" applyBorder="1" applyAlignment="1">
      <alignment horizontal="center" wrapText="1"/>
    </xf>
    <xf numFmtId="4" fontId="33" fillId="4" borderId="54" xfId="0" applyNumberFormat="1" applyFont="1" applyFill="1" applyBorder="1" applyAlignment="1">
      <alignment horizontal="center" vertical="center" wrapText="1"/>
    </xf>
    <xf numFmtId="4" fontId="33" fillId="4" borderId="55" xfId="0" applyNumberFormat="1" applyFont="1" applyFill="1" applyBorder="1" applyAlignment="1">
      <alignment horizontal="center" vertical="center" wrapText="1"/>
    </xf>
    <xf numFmtId="4" fontId="33" fillId="4" borderId="64" xfId="0" applyNumberFormat="1" applyFont="1" applyFill="1" applyBorder="1" applyAlignment="1">
      <alignment horizontal="center" vertical="center" wrapText="1"/>
    </xf>
    <xf numFmtId="4" fontId="33" fillId="4" borderId="30" xfId="0" applyNumberFormat="1" applyFont="1" applyFill="1" applyBorder="1" applyAlignment="1">
      <alignment horizontal="center" vertical="center" wrapText="1"/>
    </xf>
    <xf numFmtId="4" fontId="33" fillId="4" borderId="46" xfId="0" applyNumberFormat="1" applyFont="1" applyFill="1" applyBorder="1" applyAlignment="1">
      <alignment horizontal="center" vertical="center" wrapText="1"/>
    </xf>
    <xf numFmtId="4" fontId="6" fillId="4" borderId="16" xfId="0" applyNumberFormat="1" applyFont="1" applyFill="1" applyBorder="1" applyAlignment="1">
      <alignment horizontal="center" wrapText="1"/>
    </xf>
    <xf numFmtId="4" fontId="6" fillId="4" borderId="4" xfId="0" applyNumberFormat="1" applyFont="1" applyFill="1" applyBorder="1" applyAlignment="1">
      <alignment horizontal="center" wrapText="1"/>
    </xf>
    <xf numFmtId="4" fontId="33" fillId="4" borderId="12" xfId="0" applyNumberFormat="1" applyFont="1" applyFill="1" applyBorder="1" applyAlignment="1">
      <alignment horizontal="center" vertical="center" wrapText="1"/>
    </xf>
    <xf numFmtId="4" fontId="33" fillId="4" borderId="48" xfId="0" applyNumberFormat="1" applyFont="1" applyFill="1" applyBorder="1" applyAlignment="1">
      <alignment horizontal="center" vertical="center" wrapText="1"/>
    </xf>
    <xf numFmtId="4" fontId="33" fillId="4" borderId="16" xfId="0" applyNumberFormat="1" applyFont="1" applyFill="1" applyBorder="1" applyAlignment="1">
      <alignment horizontal="center" vertical="center" wrapText="1"/>
    </xf>
    <xf numFmtId="4" fontId="33" fillId="4" borderId="4" xfId="0" applyNumberFormat="1" applyFont="1" applyFill="1" applyBorder="1" applyAlignment="1">
      <alignment horizontal="center" vertical="center" wrapText="1"/>
    </xf>
    <xf numFmtId="4" fontId="33" fillId="4" borderId="70" xfId="0" applyNumberFormat="1" applyFont="1" applyFill="1" applyBorder="1" applyAlignment="1">
      <alignment horizontal="center" vertical="center" wrapText="1"/>
    </xf>
    <xf numFmtId="0" fontId="0" fillId="4" borderId="64" xfId="0" applyFill="1" applyBorder="1" applyAlignment="1">
      <alignment vertical="center"/>
    </xf>
    <xf numFmtId="0" fontId="0" fillId="4" borderId="30" xfId="0" applyFill="1" applyBorder="1" applyAlignment="1">
      <alignment vertical="center"/>
    </xf>
    <xf numFmtId="4" fontId="0" fillId="4" borderId="64" xfId="0" applyNumberFormat="1" applyFill="1" applyBorder="1" applyAlignment="1">
      <alignment vertical="center"/>
    </xf>
    <xf numFmtId="4" fontId="6" fillId="4" borderId="58" xfId="0" applyNumberFormat="1" applyFont="1" applyFill="1" applyBorder="1" applyAlignment="1">
      <alignment horizontal="center" wrapText="1"/>
    </xf>
    <xf numFmtId="4" fontId="6" fillId="4" borderId="31" xfId="0" applyNumberFormat="1" applyFont="1" applyFill="1" applyBorder="1" applyAlignment="1">
      <alignment horizontal="center" wrapText="1"/>
    </xf>
    <xf numFmtId="4" fontId="33" fillId="4" borderId="68" xfId="0" applyNumberFormat="1" applyFont="1" applyFill="1" applyBorder="1" applyAlignment="1">
      <alignment horizontal="center" vertical="center" wrapText="1"/>
    </xf>
    <xf numFmtId="4" fontId="33" fillId="4" borderId="43" xfId="0" applyNumberFormat="1" applyFont="1" applyFill="1" applyBorder="1" applyAlignment="1">
      <alignment horizontal="center" vertical="center" wrapText="1"/>
    </xf>
    <xf numFmtId="4" fontId="33" fillId="4" borderId="58" xfId="0" applyNumberFormat="1" applyFont="1" applyFill="1" applyBorder="1" applyAlignment="1">
      <alignment horizontal="center" vertical="center" wrapText="1"/>
    </xf>
    <xf numFmtId="4" fontId="33" fillId="4" borderId="31" xfId="0" applyNumberFormat="1" applyFont="1" applyFill="1" applyBorder="1" applyAlignment="1">
      <alignment horizontal="center" vertical="center" wrapText="1"/>
    </xf>
    <xf numFmtId="4" fontId="33" fillId="4" borderId="69" xfId="0" applyNumberFormat="1" applyFont="1" applyFill="1" applyBorder="1" applyAlignment="1">
      <alignment horizontal="center" vertical="center" wrapText="1"/>
    </xf>
    <xf numFmtId="4" fontId="10" fillId="4" borderId="37" xfId="0" applyNumberFormat="1" applyFont="1" applyFill="1" applyBorder="1" applyAlignment="1">
      <alignment horizontal="center" vertical="center" wrapText="1"/>
    </xf>
    <xf numFmtId="4" fontId="10" fillId="4" borderId="3" xfId="0" applyNumberFormat="1" applyFont="1" applyFill="1" applyBorder="1" applyAlignment="1">
      <alignment horizontal="center" vertical="center" wrapText="1"/>
    </xf>
    <xf numFmtId="4" fontId="36" fillId="4" borderId="50" xfId="0" applyNumberFormat="1" applyFont="1" applyFill="1" applyBorder="1" applyAlignment="1">
      <alignment horizontal="center" vertical="center" wrapText="1"/>
    </xf>
    <xf numFmtId="4" fontId="36" fillId="4" borderId="35" xfId="0" applyNumberFormat="1" applyFont="1" applyFill="1" applyBorder="1" applyAlignment="1">
      <alignment horizontal="center" vertical="center" wrapText="1"/>
    </xf>
    <xf numFmtId="4" fontId="36" fillId="4" borderId="37" xfId="0" applyNumberFormat="1" applyFont="1" applyFill="1" applyBorder="1" applyAlignment="1">
      <alignment horizontal="center" vertical="center" wrapText="1"/>
    </xf>
    <xf numFmtId="4" fontId="36" fillId="4" borderId="3" xfId="0" applyNumberFormat="1" applyFont="1" applyFill="1" applyBorder="1" applyAlignment="1">
      <alignment horizontal="center" vertical="center" wrapText="1"/>
    </xf>
    <xf numFmtId="4" fontId="36" fillId="4" borderId="40" xfId="0" applyNumberFormat="1" applyFont="1" applyFill="1" applyBorder="1" applyAlignment="1">
      <alignment horizontal="center" vertical="center" wrapText="1"/>
    </xf>
    <xf numFmtId="0" fontId="0" fillId="4" borderId="5" xfId="0" applyFill="1" applyBorder="1" applyAlignment="1">
      <alignment vertical="center"/>
    </xf>
    <xf numFmtId="0" fontId="0" fillId="4" borderId="1" xfId="0" applyFill="1" applyBorder="1" applyAlignment="1">
      <alignment vertical="center"/>
    </xf>
    <xf numFmtId="4" fontId="6" fillId="4" borderId="20" xfId="0" applyNumberFormat="1" applyFont="1" applyFill="1" applyBorder="1" applyAlignment="1">
      <alignment horizontal="center" wrapText="1"/>
    </xf>
    <xf numFmtId="4" fontId="6" fillId="4" borderId="42" xfId="0" applyNumberFormat="1" applyFont="1" applyFill="1" applyBorder="1" applyAlignment="1">
      <alignment horizontal="center" wrapText="1"/>
    </xf>
    <xf numFmtId="4" fontId="10" fillId="4" borderId="37" xfId="0" applyNumberFormat="1" applyFont="1" applyFill="1" applyBorder="1" applyAlignment="1">
      <alignment horizontal="center" wrapText="1"/>
    </xf>
    <xf numFmtId="4" fontId="10" fillId="4" borderId="3" xfId="0" applyNumberFormat="1" applyFont="1" applyFill="1" applyBorder="1" applyAlignment="1">
      <alignment horizontal="center" wrapText="1"/>
    </xf>
    <xf numFmtId="4" fontId="0" fillId="4" borderId="5" xfId="0" applyNumberFormat="1" applyFill="1" applyBorder="1" applyAlignment="1">
      <alignment vertical="center"/>
    </xf>
    <xf numFmtId="4" fontId="33" fillId="4" borderId="52" xfId="0" applyNumberFormat="1" applyFont="1" applyFill="1" applyBorder="1" applyAlignment="1">
      <alignment horizontal="center" vertical="center" wrapText="1"/>
    </xf>
    <xf numFmtId="4" fontId="33" fillId="4" borderId="23" xfId="0" applyNumberFormat="1" applyFont="1" applyFill="1" applyBorder="1" applyAlignment="1">
      <alignment horizontal="center" vertical="center" wrapText="1"/>
    </xf>
    <xf numFmtId="4" fontId="0" fillId="4" borderId="20" xfId="0" applyNumberFormat="1" applyFill="1" applyBorder="1" applyAlignment="1">
      <alignment vertical="center"/>
    </xf>
    <xf numFmtId="0" fontId="0" fillId="4" borderId="42" xfId="0" applyFill="1" applyBorder="1" applyAlignment="1">
      <alignment vertical="center"/>
    </xf>
    <xf numFmtId="4" fontId="33" fillId="4" borderId="45" xfId="0" applyNumberFormat="1" applyFont="1" applyFill="1" applyBorder="1" applyAlignment="1">
      <alignment horizontal="center" vertical="center" wrapText="1"/>
    </xf>
    <xf numFmtId="49" fontId="6" fillId="4" borderId="71" xfId="0" applyNumberFormat="1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left" vertical="top" wrapText="1"/>
    </xf>
    <xf numFmtId="4" fontId="0" fillId="4" borderId="16" xfId="0" applyNumberFormat="1" applyFill="1" applyBorder="1" applyAlignment="1">
      <alignment vertical="center"/>
    </xf>
    <xf numFmtId="0" fontId="0" fillId="4" borderId="4" xfId="0" applyFill="1" applyBorder="1" applyAlignment="1">
      <alignment vertical="center"/>
    </xf>
    <xf numFmtId="4" fontId="10" fillId="4" borderId="56" xfId="0" applyNumberFormat="1" applyFont="1" applyFill="1" applyBorder="1" applyAlignment="1">
      <alignment horizontal="center" vertical="center" wrapText="1"/>
    </xf>
    <xf numFmtId="4" fontId="10" fillId="4" borderId="21" xfId="0" applyNumberFormat="1" applyFont="1" applyFill="1" applyBorder="1" applyAlignment="1">
      <alignment horizontal="center" vertical="center" wrapText="1"/>
    </xf>
    <xf numFmtId="4" fontId="10" fillId="4" borderId="28" xfId="0" applyNumberFormat="1" applyFont="1" applyFill="1" applyBorder="1" applyAlignment="1">
      <alignment horizontal="center" vertical="center" wrapText="1"/>
    </xf>
    <xf numFmtId="4" fontId="10" fillId="4" borderId="39" xfId="0" applyNumberFormat="1" applyFont="1" applyFill="1" applyBorder="1" applyAlignment="1">
      <alignment horizontal="center" vertical="center" wrapText="1"/>
    </xf>
    <xf numFmtId="4" fontId="6" fillId="4" borderId="11" xfId="0" applyNumberFormat="1" applyFont="1" applyFill="1" applyBorder="1" applyAlignment="1">
      <alignment horizontal="center" vertical="center" wrapText="1"/>
    </xf>
    <xf numFmtId="4" fontId="6" fillId="4" borderId="55" xfId="0" applyNumberFormat="1" applyFont="1" applyFill="1" applyBorder="1" applyAlignment="1">
      <alignment horizontal="center" vertical="center" wrapText="1"/>
    </xf>
    <xf numFmtId="4" fontId="0" fillId="4" borderId="30" xfId="0" applyNumberFormat="1" applyFill="1" applyBorder="1" applyAlignment="1">
      <alignment vertical="center"/>
    </xf>
    <xf numFmtId="4" fontId="10" fillId="4" borderId="40" xfId="0" applyNumberFormat="1" applyFont="1" applyFill="1" applyBorder="1" applyAlignment="1">
      <alignment horizontal="center" vertical="center" wrapText="1"/>
    </xf>
    <xf numFmtId="0" fontId="0" fillId="4" borderId="20" xfId="0" applyFill="1" applyBorder="1" applyAlignment="1">
      <alignment vertical="center"/>
    </xf>
    <xf numFmtId="4" fontId="10" fillId="4" borderId="35" xfId="0" applyNumberFormat="1" applyFont="1" applyFill="1" applyBorder="1" applyAlignment="1">
      <alignment horizontal="center" vertical="center" wrapText="1"/>
    </xf>
    <xf numFmtId="4" fontId="0" fillId="4" borderId="1" xfId="0" applyNumberFormat="1" applyFill="1" applyBorder="1" applyAlignment="1">
      <alignment vertical="center"/>
    </xf>
    <xf numFmtId="4" fontId="6" fillId="4" borderId="23" xfId="0" applyNumberFormat="1" applyFont="1" applyFill="1" applyBorder="1" applyAlignment="1">
      <alignment horizontal="center" vertical="center" wrapText="1"/>
    </xf>
    <xf numFmtId="4" fontId="0" fillId="4" borderId="42" xfId="0" applyNumberFormat="1" applyFill="1" applyBorder="1" applyAlignment="1">
      <alignment vertical="center"/>
    </xf>
    <xf numFmtId="4" fontId="6" fillId="4" borderId="9" xfId="0" applyNumberFormat="1" applyFont="1" applyFill="1" applyBorder="1" applyAlignment="1">
      <alignment horizontal="center" wrapText="1"/>
    </xf>
    <xf numFmtId="4" fontId="6" fillId="4" borderId="6" xfId="0" applyNumberFormat="1" applyFont="1" applyFill="1" applyBorder="1" applyAlignment="1">
      <alignment horizontal="center" wrapText="1"/>
    </xf>
    <xf numFmtId="4" fontId="33" fillId="4" borderId="13" xfId="0" applyNumberFormat="1" applyFont="1" applyFill="1" applyBorder="1" applyAlignment="1">
      <alignment horizontal="center" vertical="center" wrapText="1"/>
    </xf>
    <xf numFmtId="4" fontId="33" fillId="4" borderId="10" xfId="0" applyNumberFormat="1" applyFont="1" applyFill="1" applyBorder="1" applyAlignment="1">
      <alignment horizontal="center" vertical="center" wrapText="1"/>
    </xf>
    <xf numFmtId="4" fontId="33" fillId="4" borderId="9" xfId="0" applyNumberFormat="1" applyFont="1" applyFill="1" applyBorder="1" applyAlignment="1">
      <alignment horizontal="center" vertical="center" wrapText="1"/>
    </xf>
    <xf numFmtId="4" fontId="33" fillId="4" borderId="6" xfId="0" applyNumberFormat="1" applyFont="1" applyFill="1" applyBorder="1" applyAlignment="1">
      <alignment horizontal="center" vertical="center" wrapText="1"/>
    </xf>
    <xf numFmtId="4" fontId="33" fillId="4" borderId="8" xfId="0" applyNumberFormat="1" applyFont="1" applyFill="1" applyBorder="1" applyAlignment="1">
      <alignment horizontal="center" vertical="center" wrapText="1"/>
    </xf>
    <xf numFmtId="4" fontId="6" fillId="4" borderId="64" xfId="0" applyNumberFormat="1" applyFont="1" applyFill="1" applyBorder="1" applyAlignment="1">
      <alignment horizontal="center" vertical="center" wrapText="1"/>
    </xf>
    <xf numFmtId="4" fontId="6" fillId="4" borderId="30" xfId="0" applyNumberFormat="1" applyFont="1" applyFill="1" applyBorder="1" applyAlignment="1">
      <alignment horizontal="center" vertical="center" wrapText="1"/>
    </xf>
    <xf numFmtId="4" fontId="10" fillId="4" borderId="5" xfId="0" applyNumberFormat="1" applyFont="1" applyFill="1" applyBorder="1" applyAlignment="1">
      <alignment horizontal="center" wrapText="1"/>
    </xf>
    <xf numFmtId="4" fontId="36" fillId="4" borderId="51" xfId="0" applyNumberFormat="1" applyFont="1" applyFill="1" applyBorder="1" applyAlignment="1">
      <alignment horizontal="center" vertical="center" wrapText="1"/>
    </xf>
    <xf numFmtId="4" fontId="36" fillId="4" borderId="11" xfId="0" applyNumberFormat="1" applyFont="1" applyFill="1" applyBorder="1" applyAlignment="1">
      <alignment horizontal="center" vertical="center" wrapText="1"/>
    </xf>
    <xf numFmtId="4" fontId="36" fillId="4" borderId="5" xfId="0" applyNumberFormat="1" applyFont="1" applyFill="1" applyBorder="1" applyAlignment="1">
      <alignment horizontal="center" vertical="center" wrapText="1"/>
    </xf>
    <xf numFmtId="4" fontId="36" fillId="4" borderId="1" xfId="0" applyNumberFormat="1" applyFont="1" applyFill="1" applyBorder="1" applyAlignment="1">
      <alignment horizontal="center" vertical="center" wrapText="1"/>
    </xf>
    <xf numFmtId="4" fontId="36" fillId="4" borderId="41" xfId="0" applyNumberFormat="1" applyFont="1" applyFill="1" applyBorder="1" applyAlignment="1">
      <alignment horizontal="center" vertical="center" wrapText="1"/>
    </xf>
    <xf numFmtId="4" fontId="6" fillId="4" borderId="72" xfId="0" applyNumberFormat="1" applyFont="1" applyFill="1" applyBorder="1" applyAlignment="1">
      <alignment horizontal="center" wrapText="1"/>
    </xf>
    <xf numFmtId="4" fontId="6" fillId="4" borderId="73" xfId="0" applyNumberFormat="1" applyFont="1" applyFill="1" applyBorder="1" applyAlignment="1">
      <alignment horizontal="center" wrapText="1"/>
    </xf>
    <xf numFmtId="4" fontId="33" fillId="4" borderId="74" xfId="0" applyNumberFormat="1" applyFont="1" applyFill="1" applyBorder="1" applyAlignment="1">
      <alignment horizontal="center" vertical="center" wrapText="1"/>
    </xf>
    <xf numFmtId="4" fontId="33" fillId="4" borderId="47" xfId="0" applyNumberFormat="1" applyFont="1" applyFill="1" applyBorder="1" applyAlignment="1">
      <alignment horizontal="center" vertical="center" wrapText="1"/>
    </xf>
    <xf numFmtId="4" fontId="33" fillId="4" borderId="72" xfId="0" applyNumberFormat="1" applyFont="1" applyFill="1" applyBorder="1" applyAlignment="1">
      <alignment horizontal="center" vertical="center" wrapText="1"/>
    </xf>
    <xf numFmtId="4" fontId="33" fillId="4" borderId="73" xfId="0" applyNumberFormat="1" applyFont="1" applyFill="1" applyBorder="1" applyAlignment="1">
      <alignment horizontal="center" vertical="center" wrapText="1"/>
    </xf>
    <xf numFmtId="4" fontId="33" fillId="4" borderId="75" xfId="0" applyNumberFormat="1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0" fillId="4" borderId="0" xfId="0" applyFill="1"/>
    <xf numFmtId="0" fontId="0" fillId="4" borderId="51" xfId="0" applyFill="1" applyBorder="1" applyAlignment="1">
      <alignment vertical="center"/>
    </xf>
    <xf numFmtId="0" fontId="5" fillId="0" borderId="73" xfId="0" applyFont="1" applyBorder="1" applyAlignment="1">
      <alignment horizontal="center" vertical="center" wrapText="1"/>
    </xf>
    <xf numFmtId="0" fontId="6" fillId="0" borderId="75" xfId="0" applyFont="1" applyBorder="1" applyAlignment="1">
      <alignment horizontal="center" vertical="center" wrapText="1"/>
    </xf>
    <xf numFmtId="0" fontId="5" fillId="0" borderId="64" xfId="0" applyFont="1" applyBorder="1" applyAlignment="1">
      <alignment horizontal="center" vertical="center" wrapText="1"/>
    </xf>
    <xf numFmtId="0" fontId="6" fillId="0" borderId="31" xfId="0" applyFont="1" applyBorder="1" applyAlignment="1">
      <alignment vertical="center" wrapText="1"/>
    </xf>
    <xf numFmtId="0" fontId="6" fillId="0" borderId="47" xfId="0" applyFont="1" applyBorder="1" applyAlignment="1">
      <alignment vertical="center" wrapText="1"/>
    </xf>
    <xf numFmtId="0" fontId="6" fillId="0" borderId="5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55" xfId="0" applyFont="1" applyBorder="1" applyAlignment="1">
      <alignment vertical="center" wrapText="1"/>
    </xf>
    <xf numFmtId="0" fontId="6" fillId="0" borderId="35" xfId="0" applyFont="1" applyBorder="1" applyAlignment="1">
      <alignment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70" xfId="0" applyFont="1" applyBorder="1" applyAlignment="1">
      <alignment horizontal="center" vertical="center" wrapText="1"/>
    </xf>
    <xf numFmtId="0" fontId="5" fillId="0" borderId="7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10" xfId="0" applyFont="1" applyBorder="1" applyAlignment="1">
      <alignment vertical="center" wrapText="1"/>
    </xf>
    <xf numFmtId="0" fontId="5" fillId="0" borderId="77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6" fillId="0" borderId="69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0" fillId="9" borderId="0" xfId="0" applyFill="1"/>
    <xf numFmtId="0" fontId="5" fillId="9" borderId="0" xfId="0" applyFont="1" applyFill="1" applyAlignment="1">
      <alignment horizontal="centerContinuous" vertical="center" wrapText="1"/>
    </xf>
    <xf numFmtId="0" fontId="5" fillId="9" borderId="17" xfId="0" applyFont="1" applyFill="1" applyBorder="1" applyAlignment="1">
      <alignment horizontal="center" vertical="center" wrapText="1"/>
    </xf>
    <xf numFmtId="0" fontId="5" fillId="9" borderId="44" xfId="0" applyFont="1" applyFill="1" applyBorder="1" applyAlignment="1">
      <alignment horizontal="center" vertical="center" wrapText="1"/>
    </xf>
    <xf numFmtId="0" fontId="5" fillId="9" borderId="3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0" fontId="5" fillId="9" borderId="42" xfId="0" applyFont="1" applyFill="1" applyBorder="1" applyAlignment="1">
      <alignment horizontal="center" vertical="center" wrapText="1"/>
    </xf>
    <xf numFmtId="0" fontId="5" fillId="9" borderId="28" xfId="0" applyFont="1" applyFill="1" applyBorder="1" applyAlignment="1">
      <alignment horizontal="center" vertical="center" wrapText="1"/>
    </xf>
    <xf numFmtId="0" fontId="8" fillId="9" borderId="30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5" fillId="9" borderId="30" xfId="0" applyFont="1" applyFill="1" applyBorder="1" applyAlignment="1">
      <alignment horizontal="center" vertical="center" wrapText="1"/>
    </xf>
    <xf numFmtId="0" fontId="5" fillId="9" borderId="4" xfId="0" applyFont="1" applyFill="1" applyBorder="1" applyAlignment="1">
      <alignment horizontal="center" vertical="center" wrapText="1"/>
    </xf>
    <xf numFmtId="0" fontId="5" fillId="9" borderId="73" xfId="0" applyFont="1" applyFill="1" applyBorder="1" applyAlignment="1">
      <alignment horizontal="center" vertical="center" wrapText="1"/>
    </xf>
    <xf numFmtId="0" fontId="5" fillId="9" borderId="18" xfId="0" applyFont="1" applyFill="1" applyBorder="1" applyAlignment="1">
      <alignment horizontal="center" vertical="center" wrapText="1"/>
    </xf>
    <xf numFmtId="0" fontId="5" fillId="9" borderId="6" xfId="0" applyFont="1" applyFill="1" applyBorder="1" applyAlignment="1">
      <alignment horizontal="center" vertical="center" wrapText="1"/>
    </xf>
    <xf numFmtId="0" fontId="5" fillId="9" borderId="31" xfId="0" applyFont="1" applyFill="1" applyBorder="1" applyAlignment="1">
      <alignment horizontal="center" vertical="center" wrapText="1"/>
    </xf>
    <xf numFmtId="0" fontId="18" fillId="4" borderId="37" xfId="0" applyFont="1" applyFill="1" applyBorder="1" applyAlignment="1">
      <alignment horizontal="center" wrapText="1"/>
    </xf>
    <xf numFmtId="0" fontId="18" fillId="4" borderId="47" xfId="0" applyFont="1" applyFill="1" applyBorder="1" applyAlignment="1">
      <alignment horizontal="center" vertical="center" wrapText="1"/>
    </xf>
    <xf numFmtId="2" fontId="18" fillId="4" borderId="66" xfId="0" applyNumberFormat="1" applyFont="1" applyFill="1" applyBorder="1" applyAlignment="1">
      <alignment horizontal="center" vertical="center" wrapText="1"/>
    </xf>
    <xf numFmtId="2" fontId="18" fillId="4" borderId="78" xfId="0" applyNumberFormat="1" applyFont="1" applyFill="1" applyBorder="1" applyAlignment="1">
      <alignment horizontal="center" vertical="center" wrapText="1"/>
    </xf>
    <xf numFmtId="0" fontId="18" fillId="4" borderId="10" xfId="0" applyFont="1" applyFill="1" applyBorder="1" applyAlignment="1">
      <alignment horizontal="left" vertical="top" wrapText="1"/>
    </xf>
    <xf numFmtId="49" fontId="18" fillId="4" borderId="17" xfId="0" applyNumberFormat="1" applyFont="1" applyFill="1" applyBorder="1" applyAlignment="1">
      <alignment horizontal="center" vertical="center" wrapText="1"/>
    </xf>
    <xf numFmtId="49" fontId="18" fillId="4" borderId="10" xfId="0" applyNumberFormat="1" applyFont="1" applyFill="1" applyBorder="1" applyAlignment="1">
      <alignment horizontal="center" vertical="center" wrapText="1"/>
    </xf>
    <xf numFmtId="49" fontId="18" fillId="4" borderId="38" xfId="0" applyNumberFormat="1" applyFont="1" applyFill="1" applyBorder="1" applyAlignment="1">
      <alignment horizontal="center" vertical="center" wrapText="1"/>
    </xf>
    <xf numFmtId="2" fontId="18" fillId="4" borderId="18" xfId="0" applyNumberFormat="1" applyFont="1" applyFill="1" applyBorder="1" applyAlignment="1">
      <alignment horizontal="center" vertical="center" wrapText="1"/>
    </xf>
    <xf numFmtId="2" fontId="18" fillId="4" borderId="79" xfId="0" applyNumberFormat="1" applyFont="1" applyFill="1" applyBorder="1" applyAlignment="1">
      <alignment horizontal="center" vertical="center" wrapText="1"/>
    </xf>
    <xf numFmtId="2" fontId="18" fillId="4" borderId="38" xfId="0" applyNumberFormat="1" applyFont="1" applyFill="1" applyBorder="1" applyAlignment="1">
      <alignment horizontal="center" vertical="center" wrapText="1"/>
    </xf>
    <xf numFmtId="2" fontId="18" fillId="4" borderId="10" xfId="0" applyNumberFormat="1" applyFont="1" applyFill="1" applyBorder="1" applyAlignment="1">
      <alignment horizontal="center" vertical="center" wrapText="1"/>
    </xf>
    <xf numFmtId="2" fontId="18" fillId="4" borderId="79" xfId="0" applyNumberFormat="1" applyFont="1" applyFill="1" applyBorder="1" applyAlignment="1">
      <alignment horizontal="center" vertical="top" wrapText="1"/>
    </xf>
    <xf numFmtId="2" fontId="18" fillId="4" borderId="43" xfId="0" applyNumberFormat="1" applyFont="1" applyFill="1" applyBorder="1" applyAlignment="1">
      <alignment vertical="top" wrapText="1"/>
    </xf>
    <xf numFmtId="0" fontId="18" fillId="4" borderId="14" xfId="0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7" xfId="0" applyNumberFormat="1" applyFont="1" applyFill="1" applyBorder="1" applyAlignment="1">
      <alignment horizontal="center" vertical="center" wrapText="1"/>
    </xf>
    <xf numFmtId="0" fontId="18" fillId="4" borderId="25" xfId="0" applyFont="1" applyFill="1" applyBorder="1" applyAlignment="1">
      <alignment horizontal="center" vertical="center" wrapText="1"/>
    </xf>
    <xf numFmtId="2" fontId="18" fillId="4" borderId="61" xfId="0" applyNumberFormat="1" applyFont="1" applyFill="1" applyBorder="1" applyAlignment="1">
      <alignment horizontal="center" vertical="center" wrapText="1"/>
    </xf>
    <xf numFmtId="2" fontId="18" fillId="4" borderId="33" xfId="0" applyNumberFormat="1" applyFont="1" applyFill="1" applyBorder="1" applyAlignment="1">
      <alignment horizontal="center" vertical="center" wrapText="1"/>
    </xf>
    <xf numFmtId="2" fontId="18" fillId="4" borderId="71" xfId="0" applyNumberFormat="1" applyFont="1" applyFill="1" applyBorder="1" applyAlignment="1">
      <alignment horizontal="center" vertical="center" wrapText="1"/>
    </xf>
    <xf numFmtId="2" fontId="18" fillId="4" borderId="48" xfId="0" applyNumberFormat="1" applyFont="1" applyFill="1" applyBorder="1" applyAlignment="1">
      <alignment horizontal="center" vertical="center" wrapText="1"/>
    </xf>
    <xf numFmtId="2" fontId="18" fillId="4" borderId="59" xfId="0" applyNumberFormat="1" applyFont="1" applyFill="1" applyBorder="1" applyAlignment="1">
      <alignment horizontal="center" vertical="center" wrapText="1"/>
    </xf>
    <xf numFmtId="0" fontId="18" fillId="4" borderId="38" xfId="0" applyFont="1" applyFill="1" applyBorder="1" applyAlignment="1">
      <alignment vertical="top" wrapText="1"/>
    </xf>
    <xf numFmtId="0" fontId="18" fillId="4" borderId="10" xfId="0" applyFont="1" applyFill="1" applyBorder="1" applyAlignment="1">
      <alignment vertical="center" wrapText="1"/>
    </xf>
    <xf numFmtId="0" fontId="18" fillId="4" borderId="17" xfId="7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49" fontId="18" fillId="4" borderId="18" xfId="0" applyNumberFormat="1" applyFont="1" applyFill="1" applyBorder="1" applyAlignment="1">
      <alignment horizontal="center" vertical="center" wrapText="1"/>
    </xf>
    <xf numFmtId="49" fontId="18" fillId="4" borderId="59" xfId="0" applyNumberFormat="1" applyFont="1" applyFill="1" applyBorder="1" applyAlignment="1">
      <alignment horizontal="center" vertical="center" wrapText="1"/>
    </xf>
    <xf numFmtId="49" fontId="18" fillId="4" borderId="79" xfId="0" applyNumberFormat="1" applyFont="1" applyFill="1" applyBorder="1" applyAlignment="1">
      <alignment horizontal="center" vertical="center" wrapText="1"/>
    </xf>
    <xf numFmtId="0" fontId="18" fillId="4" borderId="5" xfId="0" applyFont="1" applyFill="1" applyBorder="1" applyAlignment="1">
      <alignment horizontal="center" vertical="center" wrapText="1"/>
    </xf>
    <xf numFmtId="0" fontId="18" fillId="4" borderId="20" xfId="0" applyFont="1" applyFill="1" applyBorder="1" applyAlignment="1">
      <alignment horizontal="center" vertical="center" wrapText="1"/>
    </xf>
    <xf numFmtId="0" fontId="18" fillId="4" borderId="21" xfId="0" applyFont="1" applyFill="1" applyBorder="1" applyAlignment="1">
      <alignment horizontal="center" vertical="center" wrapText="1"/>
    </xf>
    <xf numFmtId="0" fontId="18" fillId="4" borderId="64" xfId="0" applyFont="1" applyFill="1" applyBorder="1" applyAlignment="1">
      <alignment horizontal="center" vertical="center" wrapText="1"/>
    </xf>
    <xf numFmtId="49" fontId="18" fillId="4" borderId="36" xfId="0" applyNumberFormat="1" applyFont="1" applyFill="1" applyBorder="1" applyAlignment="1">
      <alignment horizontal="center" vertical="center" wrapText="1"/>
    </xf>
    <xf numFmtId="0" fontId="18" fillId="4" borderId="11" xfId="0" applyFont="1" applyFill="1" applyBorder="1" applyAlignment="1">
      <alignment horizontal="left" vertical="top" wrapText="1"/>
    </xf>
    <xf numFmtId="0" fontId="18" fillId="4" borderId="14" xfId="7" applyFont="1" applyFill="1" applyBorder="1" applyAlignment="1">
      <alignment horizontal="center" vertical="center" wrapText="1"/>
    </xf>
    <xf numFmtId="49" fontId="18" fillId="4" borderId="14" xfId="0" applyNumberFormat="1" applyFont="1" applyFill="1" applyBorder="1" applyAlignment="1">
      <alignment horizontal="center" vertical="center" wrapText="1"/>
    </xf>
    <xf numFmtId="1" fontId="18" fillId="4" borderId="26" xfId="0" applyNumberFormat="1" applyFont="1" applyFill="1" applyBorder="1" applyAlignment="1">
      <alignment horizontal="center" vertical="center" wrapText="1"/>
    </xf>
    <xf numFmtId="0" fontId="18" fillId="4" borderId="62" xfId="0" applyFont="1" applyFill="1" applyBorder="1" applyAlignment="1">
      <alignment vertical="top" wrapText="1"/>
    </xf>
    <xf numFmtId="0" fontId="18" fillId="4" borderId="56" xfId="0" applyFont="1" applyFill="1" applyBorder="1" applyAlignment="1">
      <alignment horizontal="left" vertical="top" wrapText="1"/>
    </xf>
    <xf numFmtId="49" fontId="18" fillId="4" borderId="56" xfId="0" applyNumberFormat="1" applyFont="1" applyFill="1" applyBorder="1" applyAlignment="1">
      <alignment horizontal="center" vertical="center" wrapText="1"/>
    </xf>
    <xf numFmtId="0" fontId="18" fillId="4" borderId="14" xfId="0" applyFont="1" applyFill="1" applyBorder="1" applyAlignment="1">
      <alignment vertical="top" wrapText="1"/>
    </xf>
    <xf numFmtId="49" fontId="18" fillId="4" borderId="11" xfId="0" applyNumberFormat="1" applyFont="1" applyFill="1" applyBorder="1" applyAlignment="1">
      <alignment horizontal="center" vertical="center" wrapText="1"/>
    </xf>
    <xf numFmtId="49" fontId="18" fillId="4" borderId="62" xfId="0" applyNumberFormat="1" applyFont="1" applyFill="1" applyBorder="1" applyAlignment="1">
      <alignment horizontal="center" vertical="center" wrapText="1"/>
    </xf>
    <xf numFmtId="49" fontId="18" fillId="4" borderId="55" xfId="0" applyNumberFormat="1" applyFont="1" applyFill="1" applyBorder="1" applyAlignment="1">
      <alignment horizontal="center" vertical="center" wrapText="1"/>
    </xf>
    <xf numFmtId="2" fontId="18" fillId="4" borderId="80" xfId="0" applyNumberFormat="1" applyFont="1" applyFill="1" applyBorder="1" applyAlignment="1">
      <alignment vertical="center" wrapText="1"/>
    </xf>
    <xf numFmtId="2" fontId="18" fillId="4" borderId="3" xfId="0" applyNumberFormat="1" applyFont="1" applyFill="1" applyBorder="1" applyAlignment="1">
      <alignment vertical="center" wrapText="1"/>
    </xf>
    <xf numFmtId="2" fontId="18" fillId="4" borderId="40" xfId="0" applyNumberFormat="1" applyFont="1" applyFill="1" applyBorder="1" applyAlignment="1">
      <alignment vertical="center" wrapText="1"/>
    </xf>
    <xf numFmtId="0" fontId="18" fillId="4" borderId="46" xfId="0" applyFont="1" applyFill="1" applyBorder="1" applyAlignment="1">
      <alignment horizontal="left" vertical="center" wrapText="1"/>
    </xf>
    <xf numFmtId="0" fontId="18" fillId="4" borderId="55" xfId="0" applyFont="1" applyFill="1" applyBorder="1" applyAlignment="1">
      <alignment horizontal="left" vertical="top" wrapText="1"/>
    </xf>
    <xf numFmtId="0" fontId="18" fillId="4" borderId="63" xfId="0" applyFont="1" applyFill="1" applyBorder="1" applyAlignment="1">
      <alignment horizontal="center" vertical="center" wrapText="1"/>
    </xf>
    <xf numFmtId="0" fontId="18" fillId="4" borderId="49" xfId="0" applyFont="1" applyFill="1" applyBorder="1" applyAlignment="1">
      <alignment horizontal="center" vertical="center" wrapText="1"/>
    </xf>
    <xf numFmtId="0" fontId="18" fillId="4" borderId="22" xfId="0" applyFont="1" applyFill="1" applyBorder="1" applyAlignment="1">
      <alignment horizontal="center" vertical="center" wrapText="1"/>
    </xf>
    <xf numFmtId="2" fontId="18" fillId="4" borderId="59" xfId="0" applyNumberFormat="1" applyFont="1" applyFill="1" applyBorder="1" applyAlignment="1">
      <alignment horizontal="center" vertical="top" wrapText="1"/>
    </xf>
    <xf numFmtId="0" fontId="18" fillId="4" borderId="62" xfId="7" applyFont="1" applyFill="1" applyBorder="1" applyAlignment="1">
      <alignment horizontal="center" vertical="center" wrapText="1"/>
    </xf>
    <xf numFmtId="2" fontId="18" fillId="4" borderId="41" xfId="0" applyNumberFormat="1" applyFont="1" applyFill="1" applyBorder="1" applyAlignment="1">
      <alignment horizontal="center" vertical="center" wrapText="1"/>
    </xf>
    <xf numFmtId="49" fontId="18" fillId="4" borderId="34" xfId="0" applyNumberFormat="1" applyFont="1" applyFill="1" applyBorder="1" applyAlignment="1">
      <alignment horizontal="center" vertical="center" wrapText="1"/>
    </xf>
    <xf numFmtId="49" fontId="18" fillId="4" borderId="80" xfId="0" applyNumberFormat="1" applyFont="1" applyFill="1" applyBorder="1" applyAlignment="1">
      <alignment horizontal="center" vertical="center" wrapText="1"/>
    </xf>
    <xf numFmtId="0" fontId="18" fillId="4" borderId="3" xfId="0" applyFont="1" applyFill="1" applyBorder="1" applyAlignment="1">
      <alignment horizontal="left" vertical="top" wrapText="1"/>
    </xf>
    <xf numFmtId="0" fontId="18" fillId="4" borderId="3" xfId="0" applyFont="1" applyFill="1" applyBorder="1" applyAlignment="1">
      <alignment horizontal="center" vertical="center" wrapText="1"/>
    </xf>
    <xf numFmtId="49" fontId="18" fillId="4" borderId="3" xfId="0" applyNumberFormat="1" applyFont="1" applyFill="1" applyBorder="1" applyAlignment="1">
      <alignment horizontal="center" vertical="center" wrapText="1"/>
    </xf>
    <xf numFmtId="0" fontId="18" fillId="4" borderId="50" xfId="0" applyFont="1" applyFill="1" applyBorder="1" applyAlignment="1">
      <alignment horizontal="center" vertical="center" wrapText="1"/>
    </xf>
    <xf numFmtId="2" fontId="18" fillId="4" borderId="35" xfId="0" applyNumberFormat="1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wrapText="1"/>
    </xf>
    <xf numFmtId="49" fontId="18" fillId="4" borderId="1" xfId="0" applyNumberFormat="1" applyFont="1" applyFill="1" applyBorder="1" applyAlignment="1">
      <alignment horizontal="center" vertical="center" wrapText="1"/>
    </xf>
    <xf numFmtId="0" fontId="18" fillId="4" borderId="51" xfId="0" applyFont="1" applyFill="1" applyBorder="1" applyAlignment="1">
      <alignment horizontal="center" vertical="center" wrapText="1"/>
    </xf>
    <xf numFmtId="0" fontId="18" fillId="4" borderId="11" xfId="0" applyFont="1" applyFill="1" applyBorder="1" applyAlignment="1">
      <alignment horizontal="center" vertical="center" wrapText="1"/>
    </xf>
    <xf numFmtId="2" fontId="18" fillId="4" borderId="19" xfId="0" applyNumberFormat="1" applyFont="1" applyFill="1" applyBorder="1" applyAlignment="1">
      <alignment horizontal="center" vertical="center" wrapText="1"/>
    </xf>
    <xf numFmtId="2" fontId="18" fillId="4" borderId="14" xfId="0" applyNumberFormat="1" applyFont="1" applyFill="1" applyBorder="1" applyAlignment="1">
      <alignment horizontal="center" vertical="center" wrapText="1"/>
    </xf>
    <xf numFmtId="2" fontId="18" fillId="4" borderId="11" xfId="0" applyNumberFormat="1" applyFont="1" applyFill="1" applyBorder="1" applyAlignment="1">
      <alignment horizontal="center" vertical="center" wrapText="1"/>
    </xf>
    <xf numFmtId="0" fontId="18" fillId="4" borderId="11" xfId="0" applyFont="1" applyFill="1" applyBorder="1" applyAlignment="1">
      <alignment wrapText="1"/>
    </xf>
    <xf numFmtId="49" fontId="18" fillId="4" borderId="27" xfId="0" applyNumberFormat="1" applyFont="1" applyFill="1" applyBorder="1" applyAlignment="1">
      <alignment horizontal="center" vertical="center" wrapText="1"/>
    </xf>
    <xf numFmtId="0" fontId="18" fillId="4" borderId="28" xfId="0" applyFont="1" applyFill="1" applyBorder="1" applyAlignment="1">
      <alignment horizontal="center" vertical="center" wrapText="1"/>
    </xf>
    <xf numFmtId="0" fontId="18" fillId="4" borderId="28" xfId="0" applyFont="1" applyFill="1" applyBorder="1" applyAlignment="1">
      <alignment horizontal="center" wrapText="1"/>
    </xf>
    <xf numFmtId="0" fontId="18" fillId="4" borderId="28" xfId="0" applyFont="1" applyFill="1" applyBorder="1" applyAlignment="1">
      <alignment wrapText="1"/>
    </xf>
    <xf numFmtId="49" fontId="18" fillId="4" borderId="28" xfId="0" applyNumberFormat="1" applyFont="1" applyFill="1" applyBorder="1" applyAlignment="1">
      <alignment horizontal="center" vertical="center" wrapText="1"/>
    </xf>
    <xf numFmtId="0" fontId="18" fillId="4" borderId="60" xfId="0" applyFont="1" applyFill="1" applyBorder="1" applyAlignment="1">
      <alignment horizontal="center" vertical="center" wrapText="1"/>
    </xf>
    <xf numFmtId="0" fontId="18" fillId="4" borderId="56" xfId="0" applyFont="1" applyFill="1" applyBorder="1" applyAlignment="1">
      <alignment horizontal="center" vertical="center" wrapText="1"/>
    </xf>
    <xf numFmtId="49" fontId="18" fillId="4" borderId="29" xfId="0" applyNumberFormat="1" applyFont="1" applyFill="1" applyBorder="1" applyAlignment="1">
      <alignment horizontal="center" vertical="center" wrapText="1"/>
    </xf>
    <xf numFmtId="0" fontId="18" fillId="4" borderId="30" xfId="0" applyFont="1" applyFill="1" applyBorder="1" applyAlignment="1">
      <alignment horizontal="center" vertical="center" wrapText="1"/>
    </xf>
    <xf numFmtId="0" fontId="18" fillId="4" borderId="30" xfId="0" applyFont="1" applyFill="1" applyBorder="1" applyAlignment="1">
      <alignment horizontal="center" wrapText="1"/>
    </xf>
    <xf numFmtId="0" fontId="18" fillId="4" borderId="30" xfId="0" applyFont="1" applyFill="1" applyBorder="1" applyAlignment="1">
      <alignment horizontal="left" vertical="top" wrapText="1"/>
    </xf>
    <xf numFmtId="0" fontId="18" fillId="4" borderId="31" xfId="0" applyFont="1" applyFill="1" applyBorder="1" applyAlignment="1">
      <alignment wrapText="1"/>
    </xf>
    <xf numFmtId="49" fontId="18" fillId="4" borderId="30" xfId="0" applyNumberFormat="1" applyFont="1" applyFill="1" applyBorder="1" applyAlignment="1">
      <alignment horizontal="center" vertical="center" wrapText="1"/>
    </xf>
    <xf numFmtId="0" fontId="18" fillId="4" borderId="54" xfId="0" applyFont="1" applyFill="1" applyBorder="1" applyAlignment="1">
      <alignment horizontal="center" vertical="center" wrapText="1"/>
    </xf>
    <xf numFmtId="0" fontId="18" fillId="4" borderId="55" xfId="0" applyFont="1" applyFill="1" applyBorder="1" applyAlignment="1">
      <alignment horizontal="center" vertical="center" wrapText="1"/>
    </xf>
    <xf numFmtId="2" fontId="18" fillId="4" borderId="55" xfId="0" applyNumberFormat="1" applyFont="1" applyFill="1" applyBorder="1" applyAlignment="1">
      <alignment horizontal="center" vertical="center" wrapText="1"/>
    </xf>
    <xf numFmtId="0" fontId="18" fillId="4" borderId="55" xfId="0" applyFont="1" applyFill="1" applyBorder="1" applyAlignment="1">
      <alignment wrapText="1"/>
    </xf>
    <xf numFmtId="0" fontId="18" fillId="4" borderId="0" xfId="0" applyFont="1" applyFill="1" applyAlignment="1">
      <alignment wrapText="1"/>
    </xf>
    <xf numFmtId="2" fontId="18" fillId="4" borderId="0" xfId="0" applyNumberFormat="1" applyFont="1" applyFill="1" applyAlignment="1">
      <alignment wrapText="1"/>
    </xf>
    <xf numFmtId="0" fontId="18" fillId="4" borderId="7" xfId="0" applyFont="1" applyFill="1" applyBorder="1" applyAlignment="1">
      <alignment horizontal="centerContinuous" vertical="center" wrapText="1"/>
    </xf>
    <xf numFmtId="0" fontId="18" fillId="4" borderId="78" xfId="0" applyFont="1" applyFill="1" applyBorder="1" applyAlignment="1">
      <alignment horizontal="centerContinuous" vertical="center" wrapText="1"/>
    </xf>
    <xf numFmtId="0" fontId="18" fillId="4" borderId="57" xfId="0" applyFont="1" applyFill="1" applyBorder="1" applyAlignment="1">
      <alignment horizontal="center" vertical="center" wrapText="1"/>
    </xf>
    <xf numFmtId="0" fontId="18" fillId="4" borderId="10" xfId="0" applyFont="1" applyFill="1" applyBorder="1" applyAlignment="1">
      <alignment horizontal="center" vertical="center" wrapText="1"/>
    </xf>
    <xf numFmtId="0" fontId="18" fillId="4" borderId="10" xfId="0" applyFont="1" applyFill="1" applyBorder="1" applyAlignment="1">
      <alignment horizontal="center" wrapText="1"/>
    </xf>
    <xf numFmtId="0" fontId="18" fillId="4" borderId="17" xfId="0" applyFont="1" applyFill="1" applyBorder="1" applyAlignment="1">
      <alignment horizontal="center" wrapText="1"/>
    </xf>
    <xf numFmtId="0" fontId="18" fillId="4" borderId="18" xfId="0" applyFont="1" applyFill="1" applyBorder="1" applyAlignment="1">
      <alignment horizontal="center" wrapText="1"/>
    </xf>
    <xf numFmtId="0" fontId="18" fillId="4" borderId="9" xfId="0" applyFont="1" applyFill="1" applyBorder="1" applyAlignment="1">
      <alignment horizontal="center" wrapText="1"/>
    </xf>
    <xf numFmtId="0" fontId="18" fillId="4" borderId="13" xfId="0" applyFont="1" applyFill="1" applyBorder="1" applyAlignment="1">
      <alignment horizontal="center" wrapText="1"/>
    </xf>
    <xf numFmtId="49" fontId="18" fillId="4" borderId="43" xfId="0" applyNumberFormat="1" applyFont="1" applyFill="1" applyBorder="1" applyAlignment="1">
      <alignment vertical="top" wrapText="1"/>
    </xf>
    <xf numFmtId="2" fontId="18" fillId="4" borderId="28" xfId="0" applyNumberFormat="1" applyFont="1" applyFill="1" applyBorder="1" applyAlignment="1">
      <alignment vertical="center" wrapText="1"/>
    </xf>
    <xf numFmtId="0" fontId="18" fillId="4" borderId="34" xfId="0" applyFont="1" applyFill="1" applyBorder="1" applyAlignment="1">
      <alignment horizontal="center" vertical="center" wrapText="1"/>
    </xf>
    <xf numFmtId="0" fontId="18" fillId="4" borderId="3" xfId="0" applyFont="1" applyFill="1" applyBorder="1" applyAlignment="1">
      <alignment vertical="top" wrapText="1"/>
    </xf>
    <xf numFmtId="0" fontId="18" fillId="4" borderId="1" xfId="0" applyFont="1" applyFill="1" applyBorder="1" applyAlignment="1">
      <alignment vertical="top" wrapText="1"/>
    </xf>
    <xf numFmtId="1" fontId="18" fillId="4" borderId="36" xfId="0" applyNumberFormat="1" applyFont="1" applyFill="1" applyBorder="1" applyAlignment="1">
      <alignment horizontal="center" vertical="center" wrapText="1"/>
    </xf>
    <xf numFmtId="2" fontId="18" fillId="4" borderId="39" xfId="0" applyNumberFormat="1" applyFont="1" applyFill="1" applyBorder="1" applyAlignment="1">
      <alignment vertical="center" wrapText="1"/>
    </xf>
    <xf numFmtId="0" fontId="18" fillId="4" borderId="15" xfId="7" applyFont="1" applyFill="1" applyBorder="1" applyAlignment="1">
      <alignment horizontal="center" vertical="center" wrapText="1"/>
    </xf>
    <xf numFmtId="0" fontId="18" fillId="4" borderId="24" xfId="7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18" fillId="4" borderId="56" xfId="0" applyFont="1" applyFill="1" applyBorder="1" applyAlignment="1">
      <alignment horizontal="left" vertical="center" wrapText="1"/>
    </xf>
    <xf numFmtId="0" fontId="18" fillId="4" borderId="11" xfId="0" applyFont="1" applyFill="1" applyBorder="1" applyAlignment="1">
      <alignment horizontal="left" vertical="center" wrapText="1"/>
    </xf>
    <xf numFmtId="0" fontId="18" fillId="4" borderId="62" xfId="0" applyFont="1" applyFill="1" applyBorder="1" applyAlignment="1">
      <alignment horizontal="center" vertical="center" wrapText="1"/>
    </xf>
    <xf numFmtId="0" fontId="18" fillId="4" borderId="27" xfId="0" applyFont="1" applyFill="1" applyBorder="1" applyAlignment="1">
      <alignment horizontal="center" vertical="center" wrapText="1"/>
    </xf>
    <xf numFmtId="2" fontId="18" fillId="4" borderId="39" xfId="0" applyNumberFormat="1" applyFont="1" applyFill="1" applyBorder="1" applyAlignment="1">
      <alignment horizontal="center" vertical="center" wrapText="1"/>
    </xf>
    <xf numFmtId="0" fontId="18" fillId="4" borderId="25" xfId="0" applyFont="1" applyFill="1" applyBorder="1" applyAlignment="1">
      <alignment vertical="top" wrapText="1"/>
    </xf>
    <xf numFmtId="49" fontId="18" fillId="4" borderId="25" xfId="0" applyNumberFormat="1" applyFont="1" applyFill="1" applyBorder="1" applyAlignment="1">
      <alignment horizontal="center" vertical="center" wrapText="1"/>
    </xf>
    <xf numFmtId="2" fontId="18" fillId="4" borderId="46" xfId="0" applyNumberFormat="1" applyFont="1" applyFill="1" applyBorder="1" applyAlignment="1">
      <alignment horizontal="center" vertical="center" wrapText="1"/>
    </xf>
    <xf numFmtId="0" fontId="18" fillId="4" borderId="24" xfId="0" applyFont="1" applyFill="1" applyBorder="1" applyAlignment="1">
      <alignment vertical="top" wrapText="1"/>
    </xf>
    <xf numFmtId="49" fontId="18" fillId="4" borderId="24" xfId="0" applyNumberFormat="1" applyFont="1" applyFill="1" applyBorder="1" applyAlignment="1">
      <alignment horizontal="center" vertical="center" wrapText="1"/>
    </xf>
    <xf numFmtId="0" fontId="18" fillId="4" borderId="17" xfId="0" applyFont="1" applyFill="1" applyBorder="1" applyAlignment="1">
      <alignment vertical="top" wrapText="1"/>
    </xf>
    <xf numFmtId="0" fontId="18" fillId="4" borderId="0" xfId="0" applyFont="1" applyFill="1" applyAlignment="1">
      <alignment vertical="top" wrapText="1"/>
    </xf>
    <xf numFmtId="0" fontId="18" fillId="4" borderId="47" xfId="0" applyFont="1" applyFill="1" applyBorder="1" applyAlignment="1">
      <alignment horizontal="center" wrapText="1"/>
    </xf>
    <xf numFmtId="0" fontId="18" fillId="4" borderId="32" xfId="0" applyFont="1" applyFill="1" applyBorder="1" applyAlignment="1">
      <alignment horizontal="center" wrapText="1"/>
    </xf>
    <xf numFmtId="0" fontId="18" fillId="4" borderId="78" xfId="0" applyFont="1" applyFill="1" applyBorder="1" applyAlignment="1">
      <alignment horizontal="center" wrapText="1"/>
    </xf>
    <xf numFmtId="2" fontId="18" fillId="4" borderId="10" xfId="0" applyNumberFormat="1" applyFont="1" applyFill="1" applyBorder="1" applyAlignment="1">
      <alignment horizontal="center" wrapText="1"/>
    </xf>
    <xf numFmtId="2" fontId="18" fillId="4" borderId="18" xfId="0" applyNumberFormat="1" applyFont="1" applyFill="1" applyBorder="1" applyAlignment="1">
      <alignment horizontal="center" wrapText="1"/>
    </xf>
    <xf numFmtId="49" fontId="18" fillId="4" borderId="48" xfId="0" applyNumberFormat="1" applyFont="1" applyFill="1" applyBorder="1" applyAlignment="1">
      <alignment horizontal="center" vertical="center" wrapText="1"/>
    </xf>
    <xf numFmtId="49" fontId="18" fillId="4" borderId="43" xfId="0" applyNumberFormat="1" applyFont="1" applyFill="1" applyBorder="1" applyAlignment="1">
      <alignment horizontal="center" vertical="center" wrapText="1"/>
    </xf>
    <xf numFmtId="49" fontId="18" fillId="4" borderId="47" xfId="0" applyNumberFormat="1" applyFont="1" applyFill="1" applyBorder="1" applyAlignment="1">
      <alignment horizontal="center" vertical="center" wrapText="1"/>
    </xf>
    <xf numFmtId="0" fontId="18" fillId="4" borderId="48" xfId="0" applyFont="1" applyFill="1" applyBorder="1" applyAlignment="1">
      <alignment horizontal="center" vertical="center" wrapText="1"/>
    </xf>
    <xf numFmtId="0" fontId="18" fillId="4" borderId="0" xfId="0" applyFont="1" applyFill="1" applyAlignment="1">
      <alignment horizontal="center" vertical="center" wrapText="1"/>
    </xf>
    <xf numFmtId="0" fontId="18" fillId="4" borderId="44" xfId="0" applyFont="1" applyFill="1" applyBorder="1" applyAlignment="1">
      <alignment horizontal="center" vertical="center" wrapText="1"/>
    </xf>
    <xf numFmtId="2" fontId="18" fillId="4" borderId="47" xfId="0" applyNumberFormat="1" applyFont="1" applyFill="1" applyBorder="1" applyAlignment="1">
      <alignment horizontal="center" vertical="center" wrapText="1"/>
    </xf>
    <xf numFmtId="2" fontId="18" fillId="4" borderId="43" xfId="0" applyNumberFormat="1" applyFont="1" applyFill="1" applyBorder="1" applyAlignment="1">
      <alignment horizontal="center" vertical="center" wrapText="1"/>
    </xf>
    <xf numFmtId="0" fontId="18" fillId="4" borderId="48" xfId="0" applyFont="1" applyFill="1" applyBorder="1" applyAlignment="1">
      <alignment horizontal="left" vertical="top" wrapText="1"/>
    </xf>
    <xf numFmtId="0" fontId="18" fillId="4" borderId="47" xfId="0" applyFont="1" applyFill="1" applyBorder="1" applyAlignment="1">
      <alignment horizontal="left" vertical="top" wrapText="1"/>
    </xf>
    <xf numFmtId="49" fontId="18" fillId="4" borderId="71" xfId="0" applyNumberFormat="1" applyFont="1" applyFill="1" applyBorder="1" applyAlignment="1">
      <alignment horizontal="center" vertical="center" wrapText="1"/>
    </xf>
    <xf numFmtId="0" fontId="18" fillId="4" borderId="15" xfId="0" applyFont="1" applyFill="1" applyBorder="1" applyAlignment="1">
      <alignment horizontal="center" vertical="center" wrapText="1"/>
    </xf>
    <xf numFmtId="2" fontId="18" fillId="4" borderId="44" xfId="0" applyNumberFormat="1" applyFont="1" applyFill="1" applyBorder="1" applyAlignment="1">
      <alignment horizontal="center" vertical="center" wrapText="1"/>
    </xf>
    <xf numFmtId="0" fontId="18" fillId="4" borderId="24" xfId="0" applyFont="1" applyFill="1" applyBorder="1" applyAlignment="1">
      <alignment horizontal="center" vertical="center" wrapText="1"/>
    </xf>
    <xf numFmtId="49" fontId="18" fillId="4" borderId="32" xfId="0" applyNumberFormat="1" applyFont="1" applyFill="1" applyBorder="1" applyAlignment="1">
      <alignment horizontal="center" vertical="center" wrapText="1"/>
    </xf>
    <xf numFmtId="49" fontId="18" fillId="4" borderId="0" xfId="0" applyNumberFormat="1" applyFont="1" applyFill="1" applyAlignment="1">
      <alignment horizontal="center" vertical="center" wrapText="1"/>
    </xf>
    <xf numFmtId="49" fontId="18" fillId="4" borderId="44" xfId="0" applyNumberFormat="1" applyFont="1" applyFill="1" applyBorder="1" applyAlignment="1">
      <alignment horizontal="center" vertical="center" wrapText="1"/>
    </xf>
    <xf numFmtId="167" fontId="6" fillId="4" borderId="0" xfId="0" applyNumberFormat="1" applyFont="1" applyFill="1" applyAlignment="1">
      <alignment wrapText="1"/>
    </xf>
    <xf numFmtId="49" fontId="18" fillId="4" borderId="35" xfId="0" applyNumberFormat="1" applyFont="1" applyFill="1" applyBorder="1" applyAlignment="1">
      <alignment horizontal="center" vertical="center" wrapText="1"/>
    </xf>
    <xf numFmtId="0" fontId="18" fillId="4" borderId="23" xfId="0" applyFont="1" applyFill="1" applyBorder="1" applyAlignment="1">
      <alignment horizontal="center" vertical="center" wrapText="1"/>
    </xf>
    <xf numFmtId="0" fontId="18" fillId="4" borderId="35" xfId="0" applyFont="1" applyFill="1" applyBorder="1" applyAlignment="1">
      <alignment horizontal="center" vertical="center" wrapText="1"/>
    </xf>
    <xf numFmtId="2" fontId="18" fillId="4" borderId="0" xfId="0" applyNumberFormat="1" applyFont="1" applyFill="1" applyAlignment="1">
      <alignment horizontal="center" vertical="center" wrapText="1"/>
    </xf>
    <xf numFmtId="2" fontId="18" fillId="4" borderId="24" xfId="0" applyNumberFormat="1" applyFont="1" applyFill="1" applyBorder="1" applyAlignment="1">
      <alignment horizontal="center" vertical="center" wrapText="1"/>
    </xf>
    <xf numFmtId="0" fontId="18" fillId="4" borderId="43" xfId="0" applyFont="1" applyFill="1" applyBorder="1" applyAlignment="1">
      <alignment horizontal="center" vertical="center" wrapText="1"/>
    </xf>
    <xf numFmtId="0" fontId="18" fillId="4" borderId="71" xfId="0" applyFont="1" applyFill="1" applyBorder="1" applyAlignment="1">
      <alignment horizontal="center" vertical="center" wrapText="1"/>
    </xf>
    <xf numFmtId="0" fontId="18" fillId="4" borderId="32" xfId="0" applyFont="1" applyFill="1" applyBorder="1" applyAlignment="1">
      <alignment horizontal="center" vertical="center" wrapText="1"/>
    </xf>
    <xf numFmtId="0" fontId="18" fillId="4" borderId="23" xfId="0" applyFont="1" applyFill="1" applyBorder="1" applyAlignment="1">
      <alignment horizontal="left" vertical="top" wrapText="1"/>
    </xf>
    <xf numFmtId="0" fontId="18" fillId="4" borderId="36" xfId="0" applyFont="1" applyFill="1" applyBorder="1" applyAlignment="1">
      <alignment horizontal="center" vertical="center" wrapText="1"/>
    </xf>
    <xf numFmtId="0" fontId="18" fillId="4" borderId="35" xfId="0" applyFont="1" applyFill="1" applyBorder="1" applyAlignment="1">
      <alignment horizontal="left" vertical="top" wrapText="1"/>
    </xf>
    <xf numFmtId="2" fontId="18" fillId="4" borderId="28" xfId="0" applyNumberFormat="1" applyFont="1" applyFill="1" applyBorder="1" applyAlignment="1">
      <alignment horizontal="center" vertical="center" wrapText="1"/>
    </xf>
    <xf numFmtId="2" fontId="18" fillId="4" borderId="1" xfId="0" applyNumberFormat="1" applyFont="1" applyFill="1" applyBorder="1" applyAlignment="1">
      <alignment horizontal="center" vertical="center" wrapText="1"/>
    </xf>
    <xf numFmtId="2" fontId="18" fillId="4" borderId="30" xfId="0" applyNumberFormat="1" applyFont="1" applyFill="1" applyBorder="1" applyAlignment="1">
      <alignment horizontal="center" vertical="center" wrapText="1"/>
    </xf>
    <xf numFmtId="49" fontId="18" fillId="4" borderId="49" xfId="0" applyNumberFormat="1" applyFont="1" applyFill="1" applyBorder="1" applyAlignment="1">
      <alignment horizontal="center" vertical="center" wrapText="1"/>
    </xf>
    <xf numFmtId="49" fontId="18" fillId="4" borderId="22" xfId="0" applyNumberFormat="1" applyFont="1" applyFill="1" applyBorder="1" applyAlignment="1">
      <alignment horizontal="center" vertical="center" wrapText="1"/>
    </xf>
    <xf numFmtId="0" fontId="18" fillId="4" borderId="38" xfId="0" applyFont="1" applyFill="1" applyBorder="1" applyAlignment="1">
      <alignment horizontal="center" vertical="center" wrapText="1"/>
    </xf>
    <xf numFmtId="0" fontId="18" fillId="4" borderId="17" xfId="0" applyFont="1" applyFill="1" applyBorder="1" applyAlignment="1">
      <alignment horizontal="center" vertical="center" wrapText="1"/>
    </xf>
    <xf numFmtId="2" fontId="18" fillId="14" borderId="38" xfId="0" applyNumberFormat="1" applyFont="1" applyFill="1" applyBorder="1" applyAlignment="1">
      <alignment horizontal="center" wrapText="1"/>
    </xf>
    <xf numFmtId="2" fontId="19" fillId="4" borderId="38" xfId="0" applyNumberFormat="1" applyFont="1" applyFill="1" applyBorder="1" applyAlignment="1">
      <alignment horizontal="center" vertical="center" wrapText="1"/>
    </xf>
    <xf numFmtId="2" fontId="6" fillId="4" borderId="0" xfId="0" applyNumberFormat="1" applyFont="1" applyFill="1" applyAlignment="1">
      <alignment wrapText="1"/>
    </xf>
    <xf numFmtId="0" fontId="18" fillId="3" borderId="62" xfId="0" applyFont="1" applyFill="1" applyBorder="1" applyAlignment="1">
      <alignment horizontal="center" vertical="center" wrapText="1"/>
    </xf>
    <xf numFmtId="0" fontId="18" fillId="3" borderId="47" xfId="0" applyFont="1" applyFill="1" applyBorder="1" applyAlignment="1">
      <alignment horizontal="center" vertical="center" wrapText="1"/>
    </xf>
    <xf numFmtId="2" fontId="18" fillId="3" borderId="66" xfId="0" applyNumberFormat="1" applyFont="1" applyFill="1" applyBorder="1" applyAlignment="1">
      <alignment horizontal="center" vertical="center" wrapText="1"/>
    </xf>
    <xf numFmtId="2" fontId="18" fillId="3" borderId="78" xfId="0" applyNumberFormat="1" applyFont="1" applyFill="1" applyBorder="1" applyAlignment="1">
      <alignment horizontal="center" vertical="center" wrapText="1"/>
    </xf>
    <xf numFmtId="2" fontId="18" fillId="3" borderId="47" xfId="0" applyNumberFormat="1" applyFont="1" applyFill="1" applyBorder="1" applyAlignment="1">
      <alignment horizontal="center" vertical="center" wrapText="1"/>
    </xf>
    <xf numFmtId="0" fontId="18" fillId="3" borderId="14" xfId="0" applyFont="1" applyFill="1" applyBorder="1" applyAlignment="1">
      <alignment horizontal="center" vertical="center" wrapText="1"/>
    </xf>
    <xf numFmtId="0" fontId="18" fillId="3" borderId="10" xfId="0" applyFont="1" applyFill="1" applyBorder="1" applyAlignment="1">
      <alignment horizontal="center" vertical="center" wrapText="1"/>
    </xf>
    <xf numFmtId="2" fontId="18" fillId="3" borderId="18" xfId="0" applyNumberFormat="1" applyFont="1" applyFill="1" applyBorder="1" applyAlignment="1">
      <alignment horizontal="center" vertical="center" wrapText="1"/>
    </xf>
    <xf numFmtId="2" fontId="18" fillId="3" borderId="38" xfId="0" applyNumberFormat="1" applyFont="1" applyFill="1" applyBorder="1" applyAlignment="1">
      <alignment horizontal="center" vertical="center" wrapText="1"/>
    </xf>
    <xf numFmtId="2" fontId="18" fillId="3" borderId="10" xfId="0" applyNumberFormat="1" applyFont="1" applyFill="1" applyBorder="1" applyAlignment="1">
      <alignment horizontal="center" vertical="center" wrapText="1"/>
    </xf>
    <xf numFmtId="0" fontId="18" fillId="3" borderId="48" xfId="0" applyFont="1" applyFill="1" applyBorder="1" applyAlignment="1">
      <alignment horizontal="center" vertical="center" wrapText="1"/>
    </xf>
    <xf numFmtId="2" fontId="18" fillId="3" borderId="79" xfId="0" applyNumberFormat="1" applyFont="1" applyFill="1" applyBorder="1" applyAlignment="1">
      <alignment horizontal="center" vertical="center" wrapText="1"/>
    </xf>
    <xf numFmtId="0" fontId="18" fillId="3" borderId="25" xfId="0" applyFont="1" applyFill="1" applyBorder="1" applyAlignment="1">
      <alignment horizontal="center" vertical="center" wrapText="1"/>
    </xf>
    <xf numFmtId="49" fontId="18" fillId="3" borderId="10" xfId="0" applyNumberFormat="1" applyFont="1" applyFill="1" applyBorder="1" applyAlignment="1">
      <alignment horizontal="center" vertical="center" wrapText="1"/>
    </xf>
    <xf numFmtId="0" fontId="18" fillId="3" borderId="24" xfId="0" applyFont="1" applyFill="1" applyBorder="1" applyAlignment="1">
      <alignment horizontal="center" vertical="center" wrapText="1"/>
    </xf>
    <xf numFmtId="2" fontId="18" fillId="3" borderId="71" xfId="0" applyNumberFormat="1" applyFont="1" applyFill="1" applyBorder="1" applyAlignment="1">
      <alignment horizontal="center" vertical="center" wrapText="1"/>
    </xf>
    <xf numFmtId="2" fontId="18" fillId="3" borderId="48" xfId="0" applyNumberFormat="1" applyFont="1" applyFill="1" applyBorder="1" applyAlignment="1">
      <alignment horizontal="center" vertical="center" wrapText="1"/>
    </xf>
    <xf numFmtId="0" fontId="18" fillId="3" borderId="15" xfId="0" applyFont="1" applyFill="1" applyBorder="1" applyAlignment="1">
      <alignment horizontal="center" vertical="center" wrapText="1"/>
    </xf>
    <xf numFmtId="49" fontId="18" fillId="3" borderId="47" xfId="0" applyNumberFormat="1" applyFont="1" applyFill="1" applyBorder="1" applyAlignment="1">
      <alignment horizontal="center" vertical="center" wrapText="1"/>
    </xf>
    <xf numFmtId="0" fontId="18" fillId="3" borderId="56" xfId="0" applyFont="1" applyFill="1" applyBorder="1" applyAlignment="1">
      <alignment horizontal="center" vertical="center" wrapText="1"/>
    </xf>
    <xf numFmtId="2" fontId="18" fillId="3" borderId="43" xfId="0" applyNumberFormat="1" applyFont="1" applyFill="1" applyBorder="1" applyAlignment="1">
      <alignment horizontal="center" vertical="center" wrapText="1"/>
    </xf>
    <xf numFmtId="0" fontId="18" fillId="3" borderId="11" xfId="0" applyFont="1" applyFill="1" applyBorder="1" applyAlignment="1">
      <alignment horizontal="center" vertical="center" wrapText="1"/>
    </xf>
    <xf numFmtId="0" fontId="18" fillId="3" borderId="55" xfId="0" applyFont="1" applyFill="1" applyBorder="1" applyAlignment="1">
      <alignment horizontal="center" vertical="center" wrapText="1"/>
    </xf>
    <xf numFmtId="2" fontId="18" fillId="4" borderId="38" xfId="0" applyNumberFormat="1" applyFont="1" applyFill="1" applyBorder="1" applyAlignment="1">
      <alignment horizontal="center" wrapText="1"/>
    </xf>
    <xf numFmtId="0" fontId="18" fillId="4" borderId="3" xfId="0" applyFont="1" applyFill="1" applyBorder="1" applyAlignment="1">
      <alignment horizontal="left" vertical="center" wrapText="1"/>
    </xf>
    <xf numFmtId="0" fontId="18" fillId="4" borderId="1" xfId="0" applyFont="1" applyFill="1" applyBorder="1" applyAlignment="1">
      <alignment vertical="center" wrapText="1"/>
    </xf>
    <xf numFmtId="0" fontId="18" fillId="4" borderId="28" xfId="0" applyFont="1" applyFill="1" applyBorder="1" applyAlignment="1">
      <alignment vertical="center" wrapText="1"/>
    </xf>
    <xf numFmtId="0" fontId="18" fillId="4" borderId="31" xfId="0" applyFont="1" applyFill="1" applyBorder="1" applyAlignment="1">
      <alignment vertical="center" wrapText="1"/>
    </xf>
    <xf numFmtId="0" fontId="18" fillId="4" borderId="25" xfId="0" applyFont="1" applyFill="1" applyBorder="1" applyAlignment="1">
      <alignment vertical="center" wrapText="1"/>
    </xf>
    <xf numFmtId="0" fontId="18" fillId="4" borderId="55" xfId="0" applyFont="1" applyFill="1" applyBorder="1" applyAlignment="1">
      <alignment horizontal="left" vertical="center" wrapText="1"/>
    </xf>
    <xf numFmtId="0" fontId="18" fillId="4" borderId="10" xfId="0" applyFont="1" applyFill="1" applyBorder="1" applyAlignment="1">
      <alignment horizontal="left" vertical="center" wrapText="1"/>
    </xf>
    <xf numFmtId="0" fontId="22" fillId="4" borderId="0" xfId="0" applyFont="1" applyFill="1"/>
    <xf numFmtId="49" fontId="5" fillId="0" borderId="48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6" fillId="4" borderId="0" xfId="0" applyFont="1" applyFill="1" applyAlignment="1">
      <alignment vertical="center" wrapText="1"/>
    </xf>
    <xf numFmtId="2" fontId="6" fillId="3" borderId="0" xfId="0" applyNumberFormat="1" applyFont="1" applyFill="1" applyAlignment="1">
      <alignment wrapText="1"/>
    </xf>
    <xf numFmtId="49" fontId="6" fillId="3" borderId="0" xfId="0" applyNumberFormat="1" applyFont="1" applyFill="1" applyAlignment="1">
      <alignment wrapText="1"/>
    </xf>
    <xf numFmtId="2" fontId="6" fillId="9" borderId="0" xfId="0" applyNumberFormat="1" applyFont="1" applyFill="1" applyAlignment="1">
      <alignment wrapText="1"/>
    </xf>
    <xf numFmtId="2" fontId="34" fillId="0" borderId="0" xfId="0" applyNumberFormat="1" applyFont="1" applyAlignment="1">
      <alignment wrapText="1"/>
    </xf>
    <xf numFmtId="0" fontId="18" fillId="4" borderId="48" xfId="0" applyFont="1" applyFill="1" applyBorder="1" applyAlignment="1">
      <alignment horizontal="left" vertical="center" wrapText="1"/>
    </xf>
    <xf numFmtId="0" fontId="18" fillId="9" borderId="47" xfId="0" applyFont="1" applyFill="1" applyBorder="1" applyAlignment="1">
      <alignment horizontal="center" vertical="center" wrapText="1"/>
    </xf>
    <xf numFmtId="2" fontId="18" fillId="9" borderId="66" xfId="0" applyNumberFormat="1" applyFont="1" applyFill="1" applyBorder="1" applyAlignment="1">
      <alignment horizontal="center" vertical="center" wrapText="1"/>
    </xf>
    <xf numFmtId="2" fontId="18" fillId="9" borderId="78" xfId="0" applyNumberFormat="1" applyFont="1" applyFill="1" applyBorder="1" applyAlignment="1">
      <alignment horizontal="center" vertical="center" wrapText="1"/>
    </xf>
    <xf numFmtId="2" fontId="18" fillId="9" borderId="47" xfId="0" applyNumberFormat="1" applyFont="1" applyFill="1" applyBorder="1" applyAlignment="1">
      <alignment horizontal="center" vertical="center" wrapText="1"/>
    </xf>
    <xf numFmtId="0" fontId="18" fillId="9" borderId="10" xfId="0" applyFont="1" applyFill="1" applyBorder="1" applyAlignment="1">
      <alignment horizontal="center" vertical="center" wrapText="1"/>
    </xf>
    <xf numFmtId="2" fontId="18" fillId="9" borderId="18" xfId="0" applyNumberFormat="1" applyFont="1" applyFill="1" applyBorder="1" applyAlignment="1">
      <alignment horizontal="center" vertical="center" wrapText="1"/>
    </xf>
    <xf numFmtId="0" fontId="18" fillId="9" borderId="48" xfId="0" applyFont="1" applyFill="1" applyBorder="1" applyAlignment="1">
      <alignment horizontal="center" vertical="center" wrapText="1"/>
    </xf>
    <xf numFmtId="2" fontId="18" fillId="9" borderId="79" xfId="0" applyNumberFormat="1" applyFont="1" applyFill="1" applyBorder="1" applyAlignment="1">
      <alignment horizontal="center" vertical="center" wrapText="1"/>
    </xf>
    <xf numFmtId="49" fontId="18" fillId="9" borderId="10" xfId="0" applyNumberFormat="1" applyFont="1" applyFill="1" applyBorder="1" applyAlignment="1">
      <alignment horizontal="center" vertical="center" wrapText="1"/>
    </xf>
    <xf numFmtId="2" fontId="18" fillId="9" borderId="38" xfId="0" applyNumberFormat="1" applyFont="1" applyFill="1" applyBorder="1" applyAlignment="1">
      <alignment horizontal="center" vertical="center" wrapText="1"/>
    </xf>
    <xf numFmtId="2" fontId="18" fillId="9" borderId="10" xfId="0" applyNumberFormat="1" applyFont="1" applyFill="1" applyBorder="1" applyAlignment="1">
      <alignment horizontal="center" vertical="center" wrapText="1"/>
    </xf>
    <xf numFmtId="0" fontId="18" fillId="7" borderId="35" xfId="0" applyFont="1" applyFill="1" applyBorder="1" applyAlignment="1">
      <alignment horizontal="left" vertical="top" wrapText="1"/>
    </xf>
    <xf numFmtId="0" fontId="18" fillId="7" borderId="24" xfId="7" applyFont="1" applyFill="1" applyBorder="1" applyAlignment="1">
      <alignment horizontal="center" vertical="center" wrapText="1"/>
    </xf>
    <xf numFmtId="49" fontId="18" fillId="7" borderId="36" xfId="0" applyNumberFormat="1" applyFont="1" applyFill="1" applyBorder="1" applyAlignment="1">
      <alignment horizontal="center" vertical="center" wrapText="1"/>
    </xf>
    <xf numFmtId="0" fontId="18" fillId="7" borderId="47" xfId="0" applyFont="1" applyFill="1" applyBorder="1" applyAlignment="1">
      <alignment horizontal="center" vertical="center" wrapText="1"/>
    </xf>
    <xf numFmtId="2" fontId="18" fillId="7" borderId="28" xfId="0" applyNumberFormat="1" applyFont="1" applyFill="1" applyBorder="1" applyAlignment="1">
      <alignment horizontal="center" vertical="center" wrapText="1"/>
    </xf>
    <xf numFmtId="2" fontId="18" fillId="7" borderId="39" xfId="0" applyNumberFormat="1" applyFont="1" applyFill="1" applyBorder="1" applyAlignment="1">
      <alignment horizontal="center" vertical="center" wrapText="1"/>
    </xf>
    <xf numFmtId="0" fontId="18" fillId="7" borderId="11" xfId="0" applyFont="1" applyFill="1" applyBorder="1" applyAlignment="1">
      <alignment horizontal="left" vertical="top" wrapText="1"/>
    </xf>
    <xf numFmtId="0" fontId="18" fillId="7" borderId="14" xfId="7" applyFont="1" applyFill="1" applyBorder="1" applyAlignment="1">
      <alignment horizontal="center" vertical="center" wrapText="1"/>
    </xf>
    <xf numFmtId="1" fontId="18" fillId="7" borderId="36" xfId="0" applyNumberFormat="1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8" fillId="7" borderId="48" xfId="0" applyFont="1" applyFill="1" applyBorder="1" applyAlignment="1">
      <alignment horizontal="center" vertical="center" wrapText="1"/>
    </xf>
    <xf numFmtId="49" fontId="18" fillId="7" borderId="47" xfId="0" applyNumberFormat="1" applyFont="1" applyFill="1" applyBorder="1" applyAlignment="1">
      <alignment horizontal="center" vertical="center" wrapText="1"/>
    </xf>
    <xf numFmtId="0" fontId="18" fillId="7" borderId="23" xfId="0" applyFont="1" applyFill="1" applyBorder="1" applyAlignment="1">
      <alignment horizontal="left" vertical="top" wrapText="1"/>
    </xf>
    <xf numFmtId="0" fontId="18" fillId="7" borderId="15" xfId="7" applyFont="1" applyFill="1" applyBorder="1" applyAlignment="1">
      <alignment horizontal="center" vertical="center" wrapText="1"/>
    </xf>
    <xf numFmtId="1" fontId="18" fillId="7" borderId="26" xfId="0" applyNumberFormat="1" applyFont="1" applyFill="1" applyBorder="1" applyAlignment="1">
      <alignment horizontal="center" vertical="center" wrapText="1"/>
    </xf>
    <xf numFmtId="167" fontId="6" fillId="0" borderId="0" xfId="0" applyNumberFormat="1" applyFont="1" applyAlignment="1">
      <alignment wrapText="1"/>
    </xf>
    <xf numFmtId="2" fontId="6" fillId="5" borderId="0" xfId="0" applyNumberFormat="1" applyFont="1" applyFill="1" applyAlignment="1">
      <alignment wrapText="1"/>
    </xf>
    <xf numFmtId="0" fontId="6" fillId="3" borderId="0" xfId="0" applyFont="1" applyFill="1" applyAlignment="1">
      <alignment wrapText="1"/>
    </xf>
    <xf numFmtId="2" fontId="6" fillId="15" borderId="0" xfId="0" applyNumberFormat="1" applyFont="1" applyFill="1" applyAlignment="1">
      <alignment wrapText="1"/>
    </xf>
    <xf numFmtId="2" fontId="6" fillId="16" borderId="0" xfId="0" applyNumberFormat="1" applyFont="1" applyFill="1" applyAlignment="1">
      <alignment wrapText="1"/>
    </xf>
    <xf numFmtId="2" fontId="6" fillId="17" borderId="0" xfId="0" applyNumberFormat="1" applyFont="1" applyFill="1" applyAlignment="1">
      <alignment wrapText="1"/>
    </xf>
    <xf numFmtId="2" fontId="6" fillId="18" borderId="0" xfId="0" applyNumberFormat="1" applyFont="1" applyFill="1" applyAlignment="1">
      <alignment wrapText="1"/>
    </xf>
    <xf numFmtId="2" fontId="18" fillId="0" borderId="38" xfId="0" applyNumberFormat="1" applyFont="1" applyBorder="1" applyAlignment="1">
      <alignment horizontal="center" vertical="center" wrapText="1"/>
    </xf>
    <xf numFmtId="2" fontId="10" fillId="0" borderId="0" xfId="0" applyNumberFormat="1" applyFont="1" applyAlignment="1">
      <alignment wrapText="1"/>
    </xf>
    <xf numFmtId="2" fontId="25" fillId="0" borderId="2" xfId="0" applyNumberFormat="1" applyFont="1" applyBorder="1" applyAlignment="1">
      <alignment horizontal="right" vertical="center" wrapText="1"/>
    </xf>
    <xf numFmtId="167" fontId="6" fillId="3" borderId="0" xfId="0" applyNumberFormat="1" applyFont="1" applyFill="1" applyAlignment="1">
      <alignment wrapText="1"/>
    </xf>
    <xf numFmtId="0" fontId="6" fillId="4" borderId="0" xfId="0" applyFont="1" applyFill="1" applyAlignment="1">
      <alignment vertical="center"/>
    </xf>
    <xf numFmtId="2" fontId="6" fillId="4" borderId="0" xfId="0" applyNumberFormat="1" applyFont="1" applyFill="1" applyAlignment="1">
      <alignment horizontal="center" vertical="center" wrapText="1"/>
    </xf>
    <xf numFmtId="2" fontId="18" fillId="4" borderId="56" xfId="0" applyNumberFormat="1" applyFont="1" applyFill="1" applyBorder="1" applyAlignment="1">
      <alignment horizontal="center" wrapText="1"/>
    </xf>
    <xf numFmtId="2" fontId="18" fillId="4" borderId="55" xfId="0" applyNumberFormat="1" applyFont="1" applyFill="1" applyBorder="1" applyAlignment="1">
      <alignment horizontal="center" wrapText="1"/>
    </xf>
    <xf numFmtId="0" fontId="18" fillId="4" borderId="0" xfId="7" applyFont="1" applyFill="1" applyAlignment="1">
      <alignment horizontal="center" vertical="center" wrapText="1"/>
    </xf>
    <xf numFmtId="1" fontId="18" fillId="4" borderId="10" xfId="0" applyNumberFormat="1" applyFont="1" applyFill="1" applyBorder="1" applyAlignment="1">
      <alignment horizontal="center" vertical="center" wrapText="1"/>
    </xf>
    <xf numFmtId="2" fontId="18" fillId="4" borderId="60" xfId="0" applyNumberFormat="1" applyFont="1" applyFill="1" applyBorder="1" applyAlignment="1">
      <alignment horizontal="center" vertical="center" wrapText="1"/>
    </xf>
    <xf numFmtId="2" fontId="18" fillId="4" borderId="56" xfId="0" applyNumberFormat="1" applyFont="1" applyFill="1" applyBorder="1" applyAlignment="1">
      <alignment horizontal="center" vertical="center" wrapText="1"/>
    </xf>
    <xf numFmtId="0" fontId="18" fillId="4" borderId="48" xfId="0" applyFont="1" applyFill="1" applyBorder="1" applyAlignment="1">
      <alignment vertical="center" wrapText="1"/>
    </xf>
    <xf numFmtId="0" fontId="18" fillId="4" borderId="43" xfId="0" applyFont="1" applyFill="1" applyBorder="1" applyAlignment="1">
      <alignment vertical="center" wrapText="1"/>
    </xf>
    <xf numFmtId="2" fontId="18" fillId="4" borderId="17" xfId="0" applyNumberFormat="1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wrapText="1"/>
    </xf>
    <xf numFmtId="0" fontId="10" fillId="0" borderId="0" xfId="0" applyFont="1" applyAlignment="1">
      <alignment horizontal="left" vertical="top" wrapText="1"/>
    </xf>
    <xf numFmtId="0" fontId="18" fillId="4" borderId="0" xfId="0" applyFont="1" applyFill="1" applyAlignment="1">
      <alignment horizontal="left" vertical="center" wrapText="1"/>
    </xf>
    <xf numFmtId="2" fontId="18" fillId="4" borderId="32" xfId="0" applyNumberFormat="1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left" wrapText="1"/>
    </xf>
    <xf numFmtId="0" fontId="18" fillId="0" borderId="0" xfId="0" applyFont="1" applyAlignment="1">
      <alignment wrapText="1"/>
    </xf>
    <xf numFmtId="0" fontId="18" fillId="0" borderId="0" xfId="0" applyFont="1" applyAlignment="1">
      <alignment horizontal="center" wrapText="1"/>
    </xf>
    <xf numFmtId="2" fontId="18" fillId="0" borderId="0" xfId="0" applyNumberFormat="1" applyFont="1" applyAlignment="1">
      <alignment wrapText="1"/>
    </xf>
    <xf numFmtId="0" fontId="18" fillId="0" borderId="1" xfId="0" applyFont="1" applyBorder="1" applyAlignment="1">
      <alignment horizontal="center" wrapText="1"/>
    </xf>
    <xf numFmtId="1" fontId="18" fillId="4" borderId="0" xfId="0" applyNumberFormat="1" applyFont="1" applyFill="1" applyAlignment="1">
      <alignment horizontal="center" vertical="center" wrapText="1"/>
    </xf>
    <xf numFmtId="0" fontId="18" fillId="4" borderId="1" xfId="0" applyFont="1" applyFill="1" applyBorder="1" applyAlignment="1">
      <alignment horizontal="center" wrapText="1"/>
    </xf>
    <xf numFmtId="2" fontId="18" fillId="3" borderId="1" xfId="0" applyNumberFormat="1" applyFont="1" applyFill="1" applyBorder="1" applyAlignment="1">
      <alignment horizontal="center" wrapText="1"/>
    </xf>
    <xf numFmtId="4" fontId="18" fillId="0" borderId="0" xfId="0" applyNumberFormat="1" applyFont="1" applyAlignment="1">
      <alignment wrapText="1"/>
    </xf>
    <xf numFmtId="4" fontId="18" fillId="0" borderId="0" xfId="0" applyNumberFormat="1" applyFont="1" applyAlignment="1">
      <alignment horizontal="left" wrapText="1"/>
    </xf>
    <xf numFmtId="2" fontId="19" fillId="0" borderId="0" xfId="0" applyNumberFormat="1" applyFont="1" applyAlignment="1">
      <alignment wrapText="1"/>
    </xf>
    <xf numFmtId="0" fontId="18" fillId="4" borderId="0" xfId="7" applyFont="1" applyFill="1" applyAlignment="1">
      <alignment vertical="center" wrapText="1"/>
    </xf>
    <xf numFmtId="0" fontId="6" fillId="0" borderId="0" xfId="0" applyFont="1" applyAlignment="1">
      <alignment horizontal="left" wrapText="1"/>
    </xf>
    <xf numFmtId="2" fontId="19" fillId="0" borderId="0" xfId="0" applyNumberFormat="1" applyFont="1" applyAlignment="1">
      <alignment horizontal="center" wrapText="1"/>
    </xf>
    <xf numFmtId="167" fontId="18" fillId="4" borderId="0" xfId="0" applyNumberFormat="1" applyFont="1" applyFill="1" applyAlignment="1">
      <alignment horizontal="center" vertical="center" wrapText="1"/>
    </xf>
    <xf numFmtId="0" fontId="19" fillId="4" borderId="0" xfId="0" applyFont="1" applyFill="1" applyAlignment="1">
      <alignment horizontal="left" wrapText="1"/>
    </xf>
    <xf numFmtId="2" fontId="19" fillId="4" borderId="0" xfId="0" applyNumberFormat="1" applyFont="1" applyFill="1" applyAlignment="1">
      <alignment wrapText="1"/>
    </xf>
    <xf numFmtId="0" fontId="18" fillId="4" borderId="1" xfId="0" applyFont="1" applyFill="1" applyBorder="1" applyAlignment="1">
      <alignment horizontal="left" vertical="center" wrapText="1"/>
    </xf>
    <xf numFmtId="0" fontId="18" fillId="4" borderId="42" xfId="0" applyFont="1" applyFill="1" applyBorder="1" applyAlignment="1">
      <alignment horizontal="left" vertical="center" wrapText="1"/>
    </xf>
    <xf numFmtId="0" fontId="18" fillId="4" borderId="1" xfId="7" applyFont="1" applyFill="1" applyBorder="1" applyAlignment="1">
      <alignment horizontal="center" vertical="center" wrapText="1"/>
    </xf>
    <xf numFmtId="0" fontId="18" fillId="4" borderId="1" xfId="7" applyFont="1" applyFill="1" applyBorder="1" applyAlignment="1">
      <alignment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0" fontId="18" fillId="4" borderId="1" xfId="7" applyFont="1" applyFill="1" applyBorder="1" applyAlignment="1">
      <alignment horizontal="left" vertical="center" wrapText="1"/>
    </xf>
    <xf numFmtId="49" fontId="18" fillId="4" borderId="42" xfId="0" applyNumberFormat="1" applyFont="1" applyFill="1" applyBorder="1" applyAlignment="1">
      <alignment horizontal="center" vertical="center" wrapText="1"/>
    </xf>
    <xf numFmtId="0" fontId="18" fillId="4" borderId="42" xfId="0" applyFont="1" applyFill="1" applyBorder="1" applyAlignment="1">
      <alignment horizontal="center" vertical="center" wrapText="1"/>
    </xf>
    <xf numFmtId="0" fontId="18" fillId="19" borderId="1" xfId="0" applyFont="1" applyFill="1" applyBorder="1" applyAlignment="1">
      <alignment horizontal="center" vertical="center" wrapText="1"/>
    </xf>
    <xf numFmtId="2" fontId="18" fillId="4" borderId="1" xfId="0" applyNumberFormat="1" applyFont="1" applyFill="1" applyBorder="1" applyAlignment="1" applyProtection="1">
      <alignment horizontal="center" vertical="center" wrapText="1"/>
      <protection locked="0"/>
    </xf>
    <xf numFmtId="1" fontId="18" fillId="4" borderId="1" xfId="0" applyNumberFormat="1" applyFont="1" applyFill="1" applyBorder="1" applyAlignment="1" applyProtection="1">
      <alignment horizontal="center" vertical="center" wrapText="1"/>
      <protection locked="0"/>
    </xf>
    <xf numFmtId="167" fontId="18" fillId="5" borderId="1" xfId="0" applyNumberFormat="1" applyFont="1" applyFill="1" applyBorder="1" applyAlignment="1">
      <alignment horizontal="center" vertical="center" wrapText="1"/>
    </xf>
    <xf numFmtId="167" fontId="18" fillId="0" borderId="0" xfId="0" applyNumberFormat="1" applyFont="1" applyAlignment="1">
      <alignment wrapText="1"/>
    </xf>
    <xf numFmtId="0" fontId="19" fillId="4" borderId="1" xfId="0" applyFont="1" applyFill="1" applyBorder="1" applyAlignment="1">
      <alignment horizontal="center" vertical="center" wrapText="1"/>
    </xf>
    <xf numFmtId="168" fontId="19" fillId="4" borderId="1" xfId="0" applyNumberFormat="1" applyFont="1" applyFill="1" applyBorder="1" applyAlignment="1">
      <alignment horizontal="center" wrapText="1"/>
    </xf>
    <xf numFmtId="168" fontId="18" fillId="4" borderId="1" xfId="0" applyNumberFormat="1" applyFont="1" applyFill="1" applyBorder="1" applyAlignment="1">
      <alignment horizontal="center" vertical="center" wrapText="1"/>
    </xf>
    <xf numFmtId="168" fontId="18" fillId="4" borderId="3" xfId="0" applyNumberFormat="1" applyFont="1" applyFill="1" applyBorder="1" applyAlignment="1">
      <alignment horizontal="center" vertical="center" wrapText="1"/>
    </xf>
    <xf numFmtId="49" fontId="19" fillId="19" borderId="1" xfId="0" applyNumberFormat="1" applyFont="1" applyFill="1" applyBorder="1" applyAlignment="1">
      <alignment horizontal="center" vertical="center" wrapText="1"/>
    </xf>
    <xf numFmtId="0" fontId="19" fillId="19" borderId="1" xfId="0" applyFont="1" applyFill="1" applyBorder="1" applyAlignment="1">
      <alignment horizontal="center" vertical="center" wrapText="1"/>
    </xf>
    <xf numFmtId="0" fontId="19" fillId="19" borderId="1" xfId="0" applyFont="1" applyFill="1" applyBorder="1" applyAlignment="1">
      <alignment horizontal="left" vertical="center" wrapText="1"/>
    </xf>
    <xf numFmtId="168" fontId="19" fillId="19" borderId="1" xfId="0" applyNumberFormat="1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Continuous" vertical="center" wrapText="1"/>
    </xf>
    <xf numFmtId="0" fontId="19" fillId="4" borderId="42" xfId="0" applyFont="1" applyFill="1" applyBorder="1" applyAlignment="1">
      <alignment horizontal="center" vertical="center" wrapText="1"/>
    </xf>
    <xf numFmtId="0" fontId="19" fillId="19" borderId="42" xfId="0" applyFont="1" applyFill="1" applyBorder="1" applyAlignment="1">
      <alignment horizontal="center" vertical="center" wrapText="1"/>
    </xf>
    <xf numFmtId="49" fontId="19" fillId="19" borderId="42" xfId="0" applyNumberFormat="1" applyFont="1" applyFill="1" applyBorder="1" applyAlignment="1">
      <alignment horizontal="center" vertical="center" wrapText="1"/>
    </xf>
    <xf numFmtId="0" fontId="19" fillId="19" borderId="1" xfId="7" applyFont="1" applyFill="1" applyBorder="1" applyAlignment="1">
      <alignment horizontal="center" vertical="center" wrapText="1"/>
    </xf>
    <xf numFmtId="164" fontId="18" fillId="4" borderId="1" xfId="0" applyNumberFormat="1" applyFont="1" applyFill="1" applyBorder="1" applyAlignment="1">
      <alignment vertical="center" wrapText="1"/>
    </xf>
    <xf numFmtId="168" fontId="37" fillId="4" borderId="1" xfId="0" applyNumberFormat="1" applyFont="1" applyFill="1" applyBorder="1" applyAlignment="1">
      <alignment horizontal="center" vertical="center" wrapText="1"/>
    </xf>
    <xf numFmtId="4" fontId="18" fillId="4" borderId="0" xfId="0" applyNumberFormat="1" applyFont="1" applyFill="1" applyAlignment="1">
      <alignment wrapText="1"/>
    </xf>
    <xf numFmtId="2" fontId="19" fillId="4" borderId="0" xfId="0" applyNumberFormat="1" applyFont="1" applyFill="1" applyAlignment="1">
      <alignment horizontal="center" wrapText="1"/>
    </xf>
    <xf numFmtId="49" fontId="19" fillId="7" borderId="1" xfId="0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7" borderId="1" xfId="7" applyFont="1" applyFill="1" applyBorder="1" applyAlignment="1">
      <alignment horizontal="center" vertical="center" wrapText="1"/>
    </xf>
    <xf numFmtId="168" fontId="19" fillId="7" borderId="1" xfId="0" applyNumberFormat="1" applyFont="1" applyFill="1" applyBorder="1" applyAlignment="1">
      <alignment horizontal="center" vertical="center" wrapText="1"/>
    </xf>
    <xf numFmtId="49" fontId="18" fillId="20" borderId="1" xfId="0" applyNumberFormat="1" applyFont="1" applyFill="1" applyBorder="1" applyAlignment="1">
      <alignment horizontal="center" vertical="center" wrapText="1"/>
    </xf>
    <xf numFmtId="0" fontId="18" fillId="20" borderId="1" xfId="0" applyFont="1" applyFill="1" applyBorder="1" applyAlignment="1">
      <alignment horizontal="center" vertical="center" wrapText="1"/>
    </xf>
    <xf numFmtId="0" fontId="18" fillId="20" borderId="1" xfId="7" applyFont="1" applyFill="1" applyBorder="1" applyAlignment="1">
      <alignment horizontal="center" vertical="center" wrapText="1"/>
    </xf>
    <xf numFmtId="0" fontId="18" fillId="20" borderId="1" xfId="0" applyFont="1" applyFill="1" applyBorder="1" applyAlignment="1">
      <alignment horizontal="left" vertical="center" wrapText="1"/>
    </xf>
    <xf numFmtId="1" fontId="18" fillId="20" borderId="1" xfId="0" applyNumberFormat="1" applyFont="1" applyFill="1" applyBorder="1" applyAlignment="1">
      <alignment horizontal="center" vertical="center" wrapText="1"/>
    </xf>
    <xf numFmtId="168" fontId="18" fillId="20" borderId="1" xfId="0" applyNumberFormat="1" applyFont="1" applyFill="1" applyBorder="1" applyAlignment="1">
      <alignment horizontal="center" vertical="center" wrapText="1"/>
    </xf>
    <xf numFmtId="1" fontId="18" fillId="20" borderId="1" xfId="0" applyNumberFormat="1" applyFont="1" applyFill="1" applyBorder="1" applyAlignment="1" applyProtection="1">
      <alignment horizontal="center" vertical="center" wrapText="1"/>
      <protection locked="0"/>
    </xf>
    <xf numFmtId="0" fontId="19" fillId="7" borderId="1" xfId="7" applyFont="1" applyFill="1" applyBorder="1" applyAlignment="1">
      <alignment horizontal="left" vertical="center" wrapText="1"/>
    </xf>
    <xf numFmtId="4" fontId="19" fillId="4" borderId="0" xfId="0" applyNumberFormat="1" applyFont="1" applyFill="1" applyAlignment="1">
      <alignment horizontal="left" wrapText="1"/>
    </xf>
    <xf numFmtId="0" fontId="19" fillId="19" borderId="42" xfId="7" applyFont="1" applyFill="1" applyBorder="1" applyAlignment="1">
      <alignment horizontal="center" vertical="center" wrapText="1"/>
    </xf>
    <xf numFmtId="0" fontId="19" fillId="19" borderId="42" xfId="0" applyFont="1" applyFill="1" applyBorder="1" applyAlignment="1">
      <alignment horizontal="left" vertical="center" wrapText="1"/>
    </xf>
    <xf numFmtId="168" fontId="19" fillId="13" borderId="1" xfId="0" applyNumberFormat="1" applyFont="1" applyFill="1" applyBorder="1" applyAlignment="1">
      <alignment horizontal="center" wrapText="1"/>
    </xf>
    <xf numFmtId="0" fontId="19" fillId="13" borderId="1" xfId="0" applyFont="1" applyFill="1" applyBorder="1" applyAlignment="1">
      <alignment horizontal="center" vertical="center" wrapText="1"/>
    </xf>
    <xf numFmtId="0" fontId="19" fillId="13" borderId="1" xfId="0" applyFont="1" applyFill="1" applyBorder="1" applyAlignment="1">
      <alignment vertical="center" wrapText="1"/>
    </xf>
    <xf numFmtId="4" fontId="18" fillId="4" borderId="1" xfId="0" applyNumberFormat="1" applyFont="1" applyFill="1" applyBorder="1" applyAlignment="1">
      <alignment horizontal="center" vertical="center" wrapText="1"/>
    </xf>
    <xf numFmtId="0" fontId="18" fillId="20" borderId="1" xfId="0" applyFont="1" applyFill="1" applyBorder="1" applyAlignment="1">
      <alignment vertical="top" wrapText="1"/>
    </xf>
    <xf numFmtId="49" fontId="18" fillId="20" borderId="42" xfId="0" applyNumberFormat="1" applyFont="1" applyFill="1" applyBorder="1" applyAlignment="1">
      <alignment horizontal="center" vertical="center" wrapText="1"/>
    </xf>
    <xf numFmtId="0" fontId="18" fillId="20" borderId="42" xfId="0" applyFont="1" applyFill="1" applyBorder="1" applyAlignment="1">
      <alignment horizontal="center" vertical="center" wrapText="1"/>
    </xf>
    <xf numFmtId="0" fontId="18" fillId="20" borderId="42" xfId="0" applyFont="1" applyFill="1" applyBorder="1" applyAlignment="1">
      <alignment vertical="center" wrapText="1"/>
    </xf>
    <xf numFmtId="2" fontId="18" fillId="4" borderId="1" xfId="0" applyNumberFormat="1" applyFont="1" applyFill="1" applyBorder="1" applyAlignment="1">
      <alignment horizontal="center" wrapText="1"/>
    </xf>
    <xf numFmtId="49" fontId="18" fillId="0" borderId="1" xfId="0" applyNumberFormat="1" applyFont="1" applyBorder="1" applyAlignment="1">
      <alignment horizontal="left" vertical="center" wrapText="1"/>
    </xf>
    <xf numFmtId="49" fontId="18" fillId="20" borderId="1" xfId="0" applyNumberFormat="1" applyFont="1" applyFill="1" applyBorder="1" applyAlignment="1">
      <alignment horizontal="left" vertical="center" wrapText="1"/>
    </xf>
    <xf numFmtId="49" fontId="18" fillId="0" borderId="42" xfId="0" applyNumberFormat="1" applyFont="1" applyBorder="1" applyAlignment="1">
      <alignment horizontal="left" vertical="center" wrapText="1"/>
    </xf>
    <xf numFmtId="49" fontId="19" fillId="4" borderId="1" xfId="0" applyNumberFormat="1" applyFont="1" applyFill="1" applyBorder="1" applyAlignment="1">
      <alignment horizontal="center" vertical="center" wrapText="1"/>
    </xf>
    <xf numFmtId="0" fontId="19" fillId="4" borderId="1" xfId="7" applyFont="1" applyFill="1" applyBorder="1" applyAlignment="1">
      <alignment horizontal="center" vertical="center" wrapText="1"/>
    </xf>
    <xf numFmtId="0" fontId="38" fillId="0" borderId="1" xfId="0" applyFont="1" applyBorder="1" applyAlignment="1">
      <alignment vertical="top" wrapText="1"/>
    </xf>
    <xf numFmtId="49" fontId="1" fillId="0" borderId="1" xfId="0" applyNumberFormat="1" applyFont="1" applyBorder="1" applyAlignment="1" applyProtection="1">
      <alignment horizontal="left" vertical="center" wrapText="1"/>
      <protection hidden="1"/>
    </xf>
    <xf numFmtId="3" fontId="18" fillId="4" borderId="1" xfId="0" applyNumberFormat="1" applyFont="1" applyFill="1" applyBorder="1" applyAlignment="1">
      <alignment horizontal="center" vertical="center" wrapText="1"/>
    </xf>
    <xf numFmtId="0" fontId="19" fillId="19" borderId="1" xfId="7" applyFont="1" applyFill="1" applyBorder="1" applyAlignment="1">
      <alignment horizontal="left" vertical="center" wrapText="1"/>
    </xf>
    <xf numFmtId="0" fontId="18" fillId="4" borderId="42" xfId="7" applyFont="1" applyFill="1" applyBorder="1" applyAlignment="1">
      <alignment horizontal="center" vertical="center" wrapText="1"/>
    </xf>
    <xf numFmtId="0" fontId="18" fillId="4" borderId="3" xfId="7" applyFont="1" applyFill="1" applyBorder="1" applyAlignment="1">
      <alignment horizontal="center" vertical="center" wrapText="1"/>
    </xf>
    <xf numFmtId="0" fontId="37" fillId="4" borderId="1" xfId="7" applyFont="1" applyFill="1" applyBorder="1" applyAlignment="1">
      <alignment horizontal="center" vertical="center" wrapText="1"/>
    </xf>
    <xf numFmtId="49" fontId="37" fillId="4" borderId="42" xfId="0" applyNumberFormat="1" applyFont="1" applyFill="1" applyBorder="1" applyAlignment="1">
      <alignment horizontal="center" vertical="center" wrapText="1"/>
    </xf>
    <xf numFmtId="49" fontId="37" fillId="4" borderId="1" xfId="0" applyNumberFormat="1" applyFont="1" applyFill="1" applyBorder="1" applyAlignment="1">
      <alignment horizontal="center" vertical="center" wrapText="1"/>
    </xf>
    <xf numFmtId="3" fontId="19" fillId="19" borderId="1" xfId="0" applyNumberFormat="1" applyFont="1" applyFill="1" applyBorder="1" applyAlignment="1">
      <alignment horizontal="center" vertical="center" wrapText="1"/>
    </xf>
    <xf numFmtId="4" fontId="19" fillId="19" borderId="1" xfId="0" applyNumberFormat="1" applyFont="1" applyFill="1" applyBorder="1" applyAlignment="1">
      <alignment horizontal="center" vertical="center" wrapText="1"/>
    </xf>
    <xf numFmtId="3" fontId="19" fillId="19" borderId="1" xfId="7" applyNumberFormat="1" applyFont="1" applyFill="1" applyBorder="1" applyAlignment="1">
      <alignment horizontal="center" vertical="center" wrapText="1"/>
    </xf>
    <xf numFmtId="0" fontId="28" fillId="0" borderId="0" xfId="0" applyFont="1" applyAlignment="1">
      <alignment wrapText="1"/>
    </xf>
    <xf numFmtId="49" fontId="18" fillId="4" borderId="0" xfId="0" applyNumberFormat="1" applyFont="1" applyFill="1" applyAlignment="1">
      <alignment vertical="center" wrapText="1"/>
    </xf>
    <xf numFmtId="0" fontId="18" fillId="4" borderId="0" xfId="0" applyFont="1" applyFill="1" applyAlignment="1">
      <alignment horizontal="right" wrapText="1"/>
    </xf>
    <xf numFmtId="0" fontId="18" fillId="4" borderId="0" xfId="0" applyFont="1" applyFill="1" applyAlignment="1">
      <alignment horizontal="left" wrapText="1"/>
    </xf>
    <xf numFmtId="1" fontId="19" fillId="19" borderId="1" xfId="0" applyNumberFormat="1" applyFont="1" applyFill="1" applyBorder="1" applyAlignment="1">
      <alignment horizontal="center" vertical="center" wrapText="1"/>
    </xf>
    <xf numFmtId="4" fontId="18" fillId="4" borderId="0" xfId="0" applyNumberFormat="1" applyFont="1" applyFill="1" applyAlignment="1">
      <alignment horizontal="center" vertical="center" wrapText="1"/>
    </xf>
    <xf numFmtId="0" fontId="18" fillId="13" borderId="1" xfId="0" applyFont="1" applyFill="1" applyBorder="1" applyAlignment="1">
      <alignment horizontal="center" vertical="center" wrapText="1"/>
    </xf>
    <xf numFmtId="168" fontId="19" fillId="13" borderId="1" xfId="0" applyNumberFormat="1" applyFont="1" applyFill="1" applyBorder="1" applyAlignment="1">
      <alignment horizontal="center" vertical="center" wrapText="1"/>
    </xf>
    <xf numFmtId="0" fontId="18" fillId="22" borderId="1" xfId="0" applyFont="1" applyFill="1" applyBorder="1" applyAlignment="1">
      <alignment vertical="top" wrapText="1"/>
    </xf>
    <xf numFmtId="49" fontId="18" fillId="4" borderId="1" xfId="0" applyNumberFormat="1" applyFont="1" applyFill="1" applyBorder="1" applyAlignment="1">
      <alignment horizontal="center" vertical="center" wrapText="1"/>
    </xf>
    <xf numFmtId="49" fontId="18" fillId="4" borderId="42" xfId="0" applyNumberFormat="1" applyFont="1" applyFill="1" applyBorder="1" applyAlignment="1">
      <alignment horizontal="center" vertical="center" wrapText="1"/>
    </xf>
    <xf numFmtId="49" fontId="18" fillId="4" borderId="4" xfId="0" applyNumberFormat="1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left" vertical="center" wrapText="1"/>
    </xf>
    <xf numFmtId="2" fontId="18" fillId="4" borderId="0" xfId="0" applyNumberFormat="1" applyFont="1" applyFill="1" applyAlignment="1">
      <alignment horizontal="center" vertical="center" wrapText="1"/>
    </xf>
    <xf numFmtId="49" fontId="18" fillId="4" borderId="1" xfId="0" applyNumberFormat="1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49" fontId="18" fillId="4" borderId="1" xfId="0" applyNumberFormat="1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2" fontId="18" fillId="4" borderId="0" xfId="0" applyNumberFormat="1" applyFont="1" applyFill="1" applyAlignment="1">
      <alignment horizontal="center" vertical="center" wrapText="1"/>
    </xf>
    <xf numFmtId="0" fontId="18" fillId="4" borderId="0" xfId="0" applyFont="1" applyFill="1" applyAlignment="1">
      <alignment horizontal="center" vertical="center" wrapText="1"/>
    </xf>
    <xf numFmtId="49" fontId="18" fillId="4" borderId="1" xfId="0" applyNumberFormat="1" applyFont="1" applyFill="1" applyBorder="1" applyAlignment="1">
      <alignment horizontal="center" vertical="center" wrapText="1"/>
    </xf>
    <xf numFmtId="0" fontId="18" fillId="4" borderId="42" xfId="0" applyFont="1" applyFill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wrapText="1"/>
    </xf>
    <xf numFmtId="4" fontId="6" fillId="4" borderId="0" xfId="0" applyNumberFormat="1" applyFont="1" applyFill="1" applyAlignment="1">
      <alignment wrapText="1"/>
    </xf>
    <xf numFmtId="0" fontId="6" fillId="0" borderId="1" xfId="0" applyFont="1" applyBorder="1" applyAlignment="1">
      <alignment horizontal="left" vertical="center" wrapText="1"/>
    </xf>
    <xf numFmtId="0" fontId="6" fillId="0" borderId="42" xfId="0" applyFont="1" applyBorder="1" applyAlignment="1">
      <alignment vertical="top" wrapText="1"/>
    </xf>
    <xf numFmtId="0" fontId="6" fillId="0" borderId="12" xfId="0" applyFont="1" applyBorder="1" applyAlignment="1">
      <alignment vertical="top" wrapText="1"/>
    </xf>
    <xf numFmtId="0" fontId="6" fillId="0" borderId="4" xfId="0" applyFont="1" applyBorder="1" applyAlignment="1">
      <alignment vertical="top" wrapText="1"/>
    </xf>
    <xf numFmtId="0" fontId="6" fillId="0" borderId="51" xfId="0" applyFont="1" applyBorder="1" applyAlignment="1">
      <alignment horizontal="left" vertical="top" wrapText="1"/>
    </xf>
    <xf numFmtId="0" fontId="6" fillId="0" borderId="14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54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64" xfId="0" applyFont="1" applyBorder="1" applyAlignment="1">
      <alignment horizontal="center" vertical="center" wrapText="1"/>
    </xf>
    <xf numFmtId="0" fontId="6" fillId="0" borderId="78" xfId="0" applyFont="1" applyBorder="1" applyAlignment="1">
      <alignment horizontal="left" vertical="center" wrapText="1"/>
    </xf>
    <xf numFmtId="0" fontId="6" fillId="0" borderId="36" xfId="0" applyFont="1" applyBorder="1" applyAlignment="1">
      <alignment horizontal="left" vertical="center" wrapText="1"/>
    </xf>
    <xf numFmtId="0" fontId="6" fillId="0" borderId="32" xfId="0" applyFont="1" applyBorder="1" applyAlignment="1">
      <alignment horizontal="left" vertical="center" wrapText="1"/>
    </xf>
    <xf numFmtId="0" fontId="6" fillId="0" borderId="66" xfId="0" applyFont="1" applyBorder="1" applyAlignment="1">
      <alignment horizontal="left" vertical="center" wrapText="1"/>
    </xf>
    <xf numFmtId="0" fontId="6" fillId="0" borderId="57" xfId="0" applyFont="1" applyBorder="1" applyAlignment="1">
      <alignment horizontal="left" vertical="center" wrapText="1"/>
    </xf>
    <xf numFmtId="0" fontId="6" fillId="0" borderId="44" xfId="0" applyFont="1" applyBorder="1" applyAlignment="1">
      <alignment horizontal="left" vertical="center" wrapText="1"/>
    </xf>
    <xf numFmtId="0" fontId="6" fillId="0" borderId="59" xfId="0" applyFont="1" applyBorder="1" applyAlignment="1">
      <alignment horizontal="left" vertical="center" wrapText="1"/>
    </xf>
    <xf numFmtId="0" fontId="34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top" wrapText="1"/>
    </xf>
    <xf numFmtId="0" fontId="6" fillId="0" borderId="27" xfId="0" applyFont="1" applyBorder="1" applyAlignment="1">
      <alignment horizontal="left" vertical="center" wrapText="1"/>
    </xf>
    <xf numFmtId="0" fontId="6" fillId="0" borderId="34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top" wrapText="1"/>
    </xf>
    <xf numFmtId="0" fontId="6" fillId="0" borderId="39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6" fillId="0" borderId="41" xfId="0" applyFont="1" applyBorder="1" applyAlignment="1">
      <alignment horizontal="left" vertical="top" wrapText="1"/>
    </xf>
    <xf numFmtId="0" fontId="6" fillId="0" borderId="42" xfId="0" applyFont="1" applyBorder="1" applyAlignment="1">
      <alignment horizontal="left" vertical="center" wrapText="1"/>
    </xf>
    <xf numFmtId="0" fontId="5" fillId="0" borderId="51" xfId="0" applyFont="1" applyBorder="1" applyAlignment="1">
      <alignment horizontal="left" vertical="top" wrapText="1"/>
    </xf>
    <xf numFmtId="0" fontId="5" fillId="0" borderId="14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42" xfId="0" applyFont="1" applyBorder="1" applyAlignment="1">
      <alignment vertical="top" wrapText="1"/>
    </xf>
    <xf numFmtId="0" fontId="5" fillId="0" borderId="12" xfId="0" applyFont="1" applyBorder="1" applyAlignment="1">
      <alignment vertical="top" wrapText="1"/>
    </xf>
    <xf numFmtId="0" fontId="5" fillId="0" borderId="4" xfId="0" applyFont="1" applyBorder="1" applyAlignment="1">
      <alignment vertical="top" wrapText="1"/>
    </xf>
    <xf numFmtId="0" fontId="5" fillId="0" borderId="3" xfId="0" applyFont="1" applyBorder="1" applyAlignment="1">
      <alignment vertical="top" wrapText="1"/>
    </xf>
    <xf numFmtId="0" fontId="5" fillId="0" borderId="1" xfId="0" applyFont="1" applyBorder="1" applyAlignment="1">
      <alignment horizontal="left" vertical="center" wrapText="1"/>
    </xf>
    <xf numFmtId="0" fontId="5" fillId="0" borderId="20" xfId="0" applyFont="1" applyBorder="1" applyAlignment="1">
      <alignment horizontal="left" vertical="center" wrapText="1"/>
    </xf>
    <xf numFmtId="0" fontId="5" fillId="0" borderId="42" xfId="0" applyFont="1" applyBorder="1" applyAlignment="1">
      <alignment horizontal="left" vertical="center" wrapText="1"/>
    </xf>
    <xf numFmtId="49" fontId="5" fillId="0" borderId="56" xfId="0" applyNumberFormat="1" applyFont="1" applyBorder="1" applyAlignment="1">
      <alignment horizontal="center" vertical="center" wrapText="1"/>
    </xf>
    <xf numFmtId="49" fontId="5" fillId="0" borderId="11" xfId="0" applyNumberFormat="1" applyFont="1" applyBorder="1" applyAlignment="1">
      <alignment horizontal="center" vertical="center" wrapText="1"/>
    </xf>
    <xf numFmtId="49" fontId="5" fillId="0" borderId="55" xfId="0" applyNumberFormat="1" applyFont="1" applyBorder="1" applyAlignment="1">
      <alignment horizontal="center" vertical="center" wrapText="1"/>
    </xf>
    <xf numFmtId="0" fontId="5" fillId="0" borderId="21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64" xfId="0" applyFont="1" applyBorder="1" applyAlignment="1">
      <alignment horizontal="left" vertical="center" wrapText="1"/>
    </xf>
    <xf numFmtId="0" fontId="0" fillId="0" borderId="71" xfId="0" applyBorder="1" applyAlignment="1">
      <alignment horizontal="center" vertical="center" wrapText="1"/>
    </xf>
    <xf numFmtId="0" fontId="5" fillId="0" borderId="76" xfId="0" applyFont="1" applyBorder="1" applyAlignment="1">
      <alignment horizontal="left" vertical="center" wrapText="1"/>
    </xf>
    <xf numFmtId="0" fontId="5" fillId="0" borderId="81" xfId="0" applyFont="1" applyBorder="1" applyAlignment="1">
      <alignment horizontal="left" vertical="center" wrapText="1"/>
    </xf>
    <xf numFmtId="0" fontId="5" fillId="0" borderId="77" xfId="0" applyFont="1" applyBorder="1" applyAlignment="1">
      <alignment horizontal="left" vertical="center" wrapText="1"/>
    </xf>
    <xf numFmtId="0" fontId="6" fillId="0" borderId="39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29" xfId="0" applyFont="1" applyBorder="1" applyAlignment="1">
      <alignment vertical="center" wrapText="1"/>
    </xf>
    <xf numFmtId="0" fontId="5" fillId="0" borderId="46" xfId="0" applyFont="1" applyBorder="1" applyAlignment="1">
      <alignment vertical="center" wrapText="1"/>
    </xf>
    <xf numFmtId="49" fontId="5" fillId="0" borderId="35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27" xfId="0" applyFont="1" applyBorder="1" applyAlignment="1">
      <alignment vertical="center" wrapText="1"/>
    </xf>
    <xf numFmtId="0" fontId="5" fillId="0" borderId="39" xfId="0" applyFont="1" applyBorder="1" applyAlignment="1">
      <alignment vertical="center" wrapText="1"/>
    </xf>
    <xf numFmtId="0" fontId="5" fillId="0" borderId="34" xfId="0" applyFont="1" applyBorder="1" applyAlignment="1">
      <alignment vertical="center" wrapText="1"/>
    </xf>
    <xf numFmtId="0" fontId="5" fillId="0" borderId="41" xfId="0" applyFont="1" applyBorder="1" applyAlignment="1">
      <alignment vertical="center" wrapText="1"/>
    </xf>
    <xf numFmtId="0" fontId="6" fillId="0" borderId="46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62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0" fontId="5" fillId="0" borderId="25" xfId="0" applyFont="1" applyBorder="1" applyAlignment="1">
      <alignment horizontal="left" vertical="center" wrapText="1"/>
    </xf>
    <xf numFmtId="0" fontId="5" fillId="0" borderId="76" xfId="0" applyFont="1" applyBorder="1" applyAlignment="1">
      <alignment vertical="center" wrapText="1"/>
    </xf>
    <xf numFmtId="0" fontId="5" fillId="0" borderId="75" xfId="0" applyFont="1" applyBorder="1" applyAlignment="1">
      <alignment vertical="center" wrapText="1"/>
    </xf>
    <xf numFmtId="0" fontId="5" fillId="0" borderId="38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6" fillId="4" borderId="1" xfId="0" applyFont="1" applyFill="1" applyBorder="1" applyAlignment="1">
      <alignment horizontal="left" vertical="top" wrapText="1"/>
    </xf>
    <xf numFmtId="0" fontId="6" fillId="4" borderId="42" xfId="0" applyFont="1" applyFill="1" applyBorder="1" applyAlignment="1">
      <alignment horizontal="left" vertical="top" wrapText="1"/>
    </xf>
    <xf numFmtId="0" fontId="6" fillId="4" borderId="4" xfId="0" applyFont="1" applyFill="1" applyBorder="1" applyAlignment="1">
      <alignment horizontal="left" vertical="top" wrapText="1"/>
    </xf>
    <xf numFmtId="0" fontId="6" fillId="4" borderId="3" xfId="0" applyFont="1" applyFill="1" applyBorder="1" applyAlignment="1">
      <alignment horizontal="left" vertical="top" wrapText="1"/>
    </xf>
    <xf numFmtId="49" fontId="6" fillId="4" borderId="42" xfId="0" applyNumberFormat="1" applyFont="1" applyFill="1" applyBorder="1" applyAlignment="1">
      <alignment horizontal="center" vertical="center" wrapText="1"/>
    </xf>
    <xf numFmtId="49" fontId="6" fillId="4" borderId="4" xfId="0" applyNumberFormat="1" applyFont="1" applyFill="1" applyBorder="1" applyAlignment="1">
      <alignment horizontal="center" vertical="center" wrapText="1"/>
    </xf>
    <xf numFmtId="49" fontId="6" fillId="4" borderId="3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vertical="center" wrapText="1"/>
    </xf>
    <xf numFmtId="0" fontId="6" fillId="4" borderId="52" xfId="0" applyFont="1" applyFill="1" applyBorder="1" applyAlignment="1">
      <alignment horizontal="left" vertical="top" wrapText="1"/>
    </xf>
    <xf numFmtId="0" fontId="6" fillId="4" borderId="20" xfId="0" applyFont="1" applyFill="1" applyBorder="1" applyAlignment="1">
      <alignment horizontal="left" vertical="top" wrapText="1"/>
    </xf>
    <xf numFmtId="0" fontId="6" fillId="4" borderId="12" xfId="0" applyFont="1" applyFill="1" applyBorder="1" applyAlignment="1">
      <alignment horizontal="left" vertical="top" wrapText="1"/>
    </xf>
    <xf numFmtId="0" fontId="6" fillId="4" borderId="16" xfId="0" applyFont="1" applyFill="1" applyBorder="1" applyAlignment="1">
      <alignment horizontal="left" vertical="top" wrapText="1"/>
    </xf>
    <xf numFmtId="0" fontId="6" fillId="4" borderId="50" xfId="0" applyFont="1" applyFill="1" applyBorder="1" applyAlignment="1">
      <alignment horizontal="left" vertical="top" wrapText="1"/>
    </xf>
    <xf numFmtId="0" fontId="6" fillId="4" borderId="37" xfId="0" applyFont="1" applyFill="1" applyBorder="1" applyAlignment="1">
      <alignment horizontal="left" vertical="top" wrapText="1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4" borderId="78" xfId="0" applyFont="1" applyFill="1" applyBorder="1" applyAlignment="1">
      <alignment horizontal="left" vertical="center" wrapText="1"/>
    </xf>
    <xf numFmtId="0" fontId="6" fillId="4" borderId="32" xfId="0" applyFont="1" applyFill="1" applyBorder="1" applyAlignment="1">
      <alignment horizontal="left" vertical="center" wrapText="1"/>
    </xf>
    <xf numFmtId="0" fontId="6" fillId="4" borderId="71" xfId="0" applyFont="1" applyFill="1" applyBorder="1" applyAlignment="1">
      <alignment horizontal="left" vertical="center" wrapText="1"/>
    </xf>
    <xf numFmtId="0" fontId="6" fillId="4" borderId="0" xfId="0" applyFont="1" applyFill="1" applyAlignment="1">
      <alignment horizontal="left" vertical="center" wrapText="1"/>
    </xf>
    <xf numFmtId="49" fontId="6" fillId="4" borderId="49" xfId="0" applyNumberFormat="1" applyFont="1" applyFill="1" applyBorder="1" applyAlignment="1">
      <alignment horizontal="center" vertical="center" wrapText="1"/>
    </xf>
    <xf numFmtId="49" fontId="6" fillId="4" borderId="22" xfId="0" applyNumberFormat="1" applyFont="1" applyFill="1" applyBorder="1" applyAlignment="1">
      <alignment horizontal="center" vertical="center" wrapText="1"/>
    </xf>
    <xf numFmtId="49" fontId="6" fillId="4" borderId="63" xfId="0" applyNumberFormat="1" applyFont="1" applyFill="1" applyBorder="1" applyAlignment="1">
      <alignment horizontal="center" vertical="center" wrapText="1"/>
    </xf>
    <xf numFmtId="0" fontId="6" fillId="4" borderId="56" xfId="0" applyFont="1" applyFill="1" applyBorder="1" applyAlignment="1">
      <alignment horizontal="left" vertical="center" wrapText="1"/>
    </xf>
    <xf numFmtId="0" fontId="6" fillId="4" borderId="11" xfId="0" applyFont="1" applyFill="1" applyBorder="1" applyAlignment="1">
      <alignment horizontal="left" vertical="center" wrapText="1"/>
    </xf>
    <xf numFmtId="0" fontId="6" fillId="4" borderId="55" xfId="0" applyFont="1" applyFill="1" applyBorder="1" applyAlignment="1">
      <alignment horizontal="left" vertical="center" wrapText="1"/>
    </xf>
    <xf numFmtId="0" fontId="6" fillId="4" borderId="66" xfId="0" applyFont="1" applyFill="1" applyBorder="1" applyAlignment="1">
      <alignment horizontal="left" vertical="center" wrapText="1"/>
    </xf>
    <xf numFmtId="0" fontId="6" fillId="4" borderId="79" xfId="0" applyFont="1" applyFill="1" applyBorder="1" applyAlignment="1">
      <alignment horizontal="left" vertical="center" wrapText="1"/>
    </xf>
    <xf numFmtId="0" fontId="6" fillId="4" borderId="57" xfId="0" applyFont="1" applyFill="1" applyBorder="1" applyAlignment="1">
      <alignment horizontal="left" vertical="center" wrapText="1"/>
    </xf>
    <xf numFmtId="0" fontId="6" fillId="4" borderId="59" xfId="0" applyFont="1" applyFill="1" applyBorder="1" applyAlignment="1">
      <alignment horizontal="left" vertical="center" wrapText="1"/>
    </xf>
    <xf numFmtId="49" fontId="6" fillId="4" borderId="47" xfId="0" applyNumberFormat="1" applyFont="1" applyFill="1" applyBorder="1" applyAlignment="1">
      <alignment horizontal="center" vertical="center" wrapText="1"/>
    </xf>
    <xf numFmtId="49" fontId="6" fillId="4" borderId="48" xfId="0" applyNumberFormat="1" applyFont="1" applyFill="1" applyBorder="1" applyAlignment="1">
      <alignment horizontal="center" vertical="center" wrapText="1"/>
    </xf>
    <xf numFmtId="49" fontId="6" fillId="4" borderId="43" xfId="0" applyNumberFormat="1" applyFont="1" applyFill="1" applyBorder="1" applyAlignment="1">
      <alignment horizontal="center" vertical="center" wrapText="1"/>
    </xf>
    <xf numFmtId="0" fontId="6" fillId="4" borderId="47" xfId="0" applyFont="1" applyFill="1" applyBorder="1" applyAlignment="1">
      <alignment horizontal="left" vertical="center" wrapText="1"/>
    </xf>
    <xf numFmtId="0" fontId="6" fillId="4" borderId="48" xfId="0" applyFont="1" applyFill="1" applyBorder="1" applyAlignment="1">
      <alignment horizontal="left" vertical="center" wrapText="1"/>
    </xf>
    <xf numFmtId="0" fontId="6" fillId="4" borderId="43" xfId="0" applyFont="1" applyFill="1" applyBorder="1" applyAlignment="1">
      <alignment horizontal="left" vertical="center" wrapText="1"/>
    </xf>
    <xf numFmtId="49" fontId="6" fillId="4" borderId="78" xfId="0" applyNumberFormat="1" applyFont="1" applyFill="1" applyBorder="1" applyAlignment="1">
      <alignment horizontal="center" vertical="center" wrapText="1"/>
    </xf>
    <xf numFmtId="49" fontId="6" fillId="4" borderId="71" xfId="0" applyNumberFormat="1" applyFont="1" applyFill="1" applyBorder="1" applyAlignment="1">
      <alignment horizontal="center" vertical="center" wrapText="1"/>
    </xf>
    <xf numFmtId="49" fontId="6" fillId="4" borderId="80" xfId="0" applyNumberFormat="1" applyFont="1" applyFill="1" applyBorder="1" applyAlignment="1">
      <alignment horizontal="center" vertical="center" wrapText="1"/>
    </xf>
    <xf numFmtId="49" fontId="6" fillId="4" borderId="34" xfId="0" applyNumberFormat="1" applyFont="1" applyFill="1" applyBorder="1" applyAlignment="1">
      <alignment horizontal="center" vertical="center" wrapText="1"/>
    </xf>
    <xf numFmtId="49" fontId="6" fillId="4" borderId="82" xfId="0" applyNumberFormat="1" applyFont="1" applyFill="1" applyBorder="1" applyAlignment="1">
      <alignment horizontal="center" vertical="center" wrapText="1"/>
    </xf>
    <xf numFmtId="0" fontId="6" fillId="4" borderId="51" xfId="0" applyFont="1" applyFill="1" applyBorder="1" applyAlignment="1">
      <alignment horizontal="left" vertical="top" wrapText="1"/>
    </xf>
    <xf numFmtId="0" fontId="6" fillId="4" borderId="56" xfId="0" applyFont="1" applyFill="1" applyBorder="1" applyAlignment="1">
      <alignment horizontal="center" vertical="center" wrapText="1"/>
    </xf>
    <xf numFmtId="0" fontId="6" fillId="4" borderId="55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/>
    </xf>
    <xf numFmtId="0" fontId="6" fillId="4" borderId="18" xfId="0" applyFont="1" applyFill="1" applyBorder="1" applyAlignment="1">
      <alignment horizontal="center"/>
    </xf>
    <xf numFmtId="0" fontId="6" fillId="4" borderId="48" xfId="0" applyFont="1" applyFill="1" applyBorder="1" applyAlignment="1">
      <alignment horizontal="left" vertical="top" wrapText="1"/>
    </xf>
    <xf numFmtId="0" fontId="6" fillId="4" borderId="43" xfId="0" applyFont="1" applyFill="1" applyBorder="1" applyAlignment="1">
      <alignment horizontal="left" vertical="top" wrapText="1"/>
    </xf>
    <xf numFmtId="0" fontId="6" fillId="4" borderId="62" xfId="0" applyFont="1" applyFill="1" applyBorder="1" applyAlignment="1">
      <alignment horizontal="center" vertical="center" wrapText="1"/>
    </xf>
    <xf numFmtId="0" fontId="6" fillId="4" borderId="25" xfId="0" applyFont="1" applyFill="1" applyBorder="1" applyAlignment="1">
      <alignment horizontal="center" vertical="center" wrapText="1"/>
    </xf>
    <xf numFmtId="49" fontId="6" fillId="4" borderId="57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1" fillId="0" borderId="4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2" fontId="6" fillId="0" borderId="33" xfId="0" applyNumberFormat="1" applyFont="1" applyBorder="1" applyAlignment="1">
      <alignment horizontal="center" vertical="center" wrapText="1"/>
    </xf>
    <xf numFmtId="2" fontId="6" fillId="0" borderId="79" xfId="0" applyNumberFormat="1" applyFont="1" applyBorder="1" applyAlignment="1">
      <alignment horizontal="center" vertical="center" wrapText="1"/>
    </xf>
    <xf numFmtId="2" fontId="6" fillId="0" borderId="53" xfId="0" applyNumberFormat="1" applyFont="1" applyBorder="1" applyAlignment="1">
      <alignment horizontal="center" vertical="center" wrapText="1"/>
    </xf>
    <xf numFmtId="49" fontId="6" fillId="4" borderId="23" xfId="0" applyNumberFormat="1" applyFont="1" applyFill="1" applyBorder="1" applyAlignment="1">
      <alignment horizontal="center" vertical="center" wrapText="1"/>
    </xf>
    <xf numFmtId="49" fontId="6" fillId="4" borderId="35" xfId="0" applyNumberFormat="1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 wrapText="1"/>
    </xf>
    <xf numFmtId="0" fontId="6" fillId="4" borderId="48" xfId="0" applyFont="1" applyFill="1" applyBorder="1" applyAlignment="1">
      <alignment horizontal="center" vertical="center" wrapText="1"/>
    </xf>
    <xf numFmtId="0" fontId="6" fillId="4" borderId="35" xfId="0" applyFont="1" applyFill="1" applyBorder="1" applyAlignment="1">
      <alignment horizontal="center" vertical="center" wrapText="1"/>
    </xf>
    <xf numFmtId="0" fontId="6" fillId="4" borderId="47" xfId="0" applyFont="1" applyFill="1" applyBorder="1" applyAlignment="1">
      <alignment horizontal="center" vertical="center" wrapText="1"/>
    </xf>
    <xf numFmtId="2" fontId="6" fillId="0" borderId="47" xfId="0" applyNumberFormat="1" applyFont="1" applyBorder="1" applyAlignment="1">
      <alignment horizontal="center" vertical="center" wrapText="1"/>
    </xf>
    <xf numFmtId="2" fontId="6" fillId="0" borderId="48" xfId="0" applyNumberFormat="1" applyFont="1" applyBorder="1" applyAlignment="1">
      <alignment horizontal="center" vertical="center" wrapText="1"/>
    </xf>
    <xf numFmtId="2" fontId="6" fillId="0" borderId="35" xfId="0" applyNumberFormat="1" applyFont="1" applyBorder="1" applyAlignment="1">
      <alignment horizontal="center" vertical="center" wrapText="1"/>
    </xf>
    <xf numFmtId="2" fontId="6" fillId="0" borderId="23" xfId="0" applyNumberFormat="1" applyFont="1" applyBorder="1" applyAlignment="1">
      <alignment horizontal="center" vertical="center" wrapText="1"/>
    </xf>
    <xf numFmtId="2" fontId="6" fillId="0" borderId="66" xfId="0" applyNumberFormat="1" applyFont="1" applyBorder="1" applyAlignment="1">
      <alignment horizontal="center" vertical="center" wrapText="1"/>
    </xf>
    <xf numFmtId="2" fontId="6" fillId="0" borderId="0" xfId="0" applyNumberFormat="1" applyFont="1" applyAlignment="1">
      <alignment horizontal="center" vertical="center" wrapText="1"/>
    </xf>
    <xf numFmtId="2" fontId="6" fillId="0" borderId="24" xfId="0" applyNumberFormat="1" applyFont="1" applyBorder="1" applyAlignment="1">
      <alignment horizontal="center" vertical="center" wrapText="1"/>
    </xf>
    <xf numFmtId="0" fontId="6" fillId="14" borderId="23" xfId="0" applyFont="1" applyFill="1" applyBorder="1" applyAlignment="1">
      <alignment horizontal="center" vertical="center" wrapText="1"/>
    </xf>
    <xf numFmtId="0" fontId="6" fillId="14" borderId="35" xfId="0" applyFont="1" applyFill="1" applyBorder="1" applyAlignment="1">
      <alignment horizontal="center" vertical="center" wrapText="1"/>
    </xf>
    <xf numFmtId="2" fontId="6" fillId="0" borderId="15" xfId="0" applyNumberFormat="1" applyFont="1" applyBorder="1" applyAlignment="1">
      <alignment horizontal="center" vertical="center" wrapText="1"/>
    </xf>
    <xf numFmtId="2" fontId="6" fillId="8" borderId="15" xfId="0" applyNumberFormat="1" applyFont="1" applyFill="1" applyBorder="1" applyAlignment="1">
      <alignment horizontal="center" vertical="center" wrapText="1"/>
    </xf>
    <xf numFmtId="2" fontId="6" fillId="8" borderId="0" xfId="0" applyNumberFormat="1" applyFont="1" applyFill="1" applyAlignment="1">
      <alignment horizontal="center" vertical="center" wrapText="1"/>
    </xf>
    <xf numFmtId="0" fontId="9" fillId="4" borderId="15" xfId="7" applyFont="1" applyFill="1" applyBorder="1" applyAlignment="1">
      <alignment horizontal="center" vertical="center" wrapText="1"/>
    </xf>
    <xf numFmtId="0" fontId="9" fillId="4" borderId="0" xfId="7" applyFont="1" applyFill="1" applyAlignment="1">
      <alignment horizontal="center" vertical="center" wrapText="1"/>
    </xf>
    <xf numFmtId="0" fontId="9" fillId="4" borderId="24" xfId="7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  <xf numFmtId="0" fontId="6" fillId="4" borderId="24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2" fontId="6" fillId="4" borderId="23" xfId="0" applyNumberFormat="1" applyFont="1" applyFill="1" applyBorder="1" applyAlignment="1">
      <alignment horizontal="center" vertical="center" wrapText="1"/>
    </xf>
    <xf numFmtId="2" fontId="6" fillId="4" borderId="48" xfId="0" applyNumberFormat="1" applyFont="1" applyFill="1" applyBorder="1" applyAlignment="1">
      <alignment horizontal="center" vertical="center" wrapText="1"/>
    </xf>
    <xf numFmtId="2" fontId="6" fillId="4" borderId="35" xfId="0" applyNumberFormat="1" applyFont="1" applyFill="1" applyBorder="1" applyAlignment="1">
      <alignment horizontal="center" vertical="center" wrapText="1"/>
    </xf>
    <xf numFmtId="2" fontId="6" fillId="8" borderId="23" xfId="0" applyNumberFormat="1" applyFont="1" applyFill="1" applyBorder="1" applyAlignment="1">
      <alignment horizontal="center" vertical="center" wrapText="1"/>
    </xf>
    <xf numFmtId="2" fontId="6" fillId="8" borderId="48" xfId="0" applyNumberFormat="1" applyFont="1" applyFill="1" applyBorder="1" applyAlignment="1">
      <alignment horizontal="center" vertical="center" wrapText="1"/>
    </xf>
    <xf numFmtId="0" fontId="10" fillId="4" borderId="15" xfId="0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  <xf numFmtId="0" fontId="10" fillId="4" borderId="24" xfId="0" applyFont="1" applyFill="1" applyBorder="1" applyAlignment="1">
      <alignment horizontal="center" vertical="center" wrapText="1"/>
    </xf>
    <xf numFmtId="2" fontId="6" fillId="13" borderId="23" xfId="0" applyNumberFormat="1" applyFont="1" applyFill="1" applyBorder="1" applyAlignment="1">
      <alignment horizontal="center" vertical="center" wrapText="1"/>
    </xf>
    <xf numFmtId="2" fontId="6" fillId="13" borderId="35" xfId="0" applyNumberFormat="1" applyFont="1" applyFill="1" applyBorder="1" applyAlignment="1">
      <alignment horizontal="center" vertical="center" wrapText="1"/>
    </xf>
    <xf numFmtId="2" fontId="6" fillId="13" borderId="48" xfId="0" applyNumberFormat="1" applyFont="1" applyFill="1" applyBorder="1" applyAlignment="1">
      <alignment horizontal="center" vertical="center" wrapText="1"/>
    </xf>
    <xf numFmtId="2" fontId="6" fillId="13" borderId="32" xfId="0" applyNumberFormat="1" applyFont="1" applyFill="1" applyBorder="1" applyAlignment="1">
      <alignment horizontal="center" vertical="center" wrapText="1"/>
    </xf>
    <xf numFmtId="2" fontId="6" fillId="13" borderId="24" xfId="0" applyNumberFormat="1" applyFont="1" applyFill="1" applyBorder="1" applyAlignment="1">
      <alignment horizontal="center" vertical="center" wrapText="1"/>
    </xf>
    <xf numFmtId="2" fontId="6" fillId="21" borderId="32" xfId="0" applyNumberFormat="1" applyFont="1" applyFill="1" applyBorder="1" applyAlignment="1">
      <alignment horizontal="center" vertical="center" wrapText="1"/>
    </xf>
    <xf numFmtId="2" fontId="6" fillId="21" borderId="0" xfId="0" applyNumberFormat="1" applyFont="1" applyFill="1" applyAlignment="1">
      <alignment horizontal="center" vertical="center" wrapText="1"/>
    </xf>
    <xf numFmtId="2" fontId="6" fillId="21" borderId="24" xfId="0" applyNumberFormat="1" applyFont="1" applyFill="1" applyBorder="1" applyAlignment="1">
      <alignment horizontal="center" vertical="center" wrapText="1"/>
    </xf>
    <xf numFmtId="2" fontId="6" fillId="21" borderId="47" xfId="0" applyNumberFormat="1" applyFont="1" applyFill="1" applyBorder="1" applyAlignment="1">
      <alignment horizontal="center" vertical="center" wrapText="1"/>
    </xf>
    <xf numFmtId="2" fontId="6" fillId="21" borderId="48" xfId="0" applyNumberFormat="1" applyFont="1" applyFill="1" applyBorder="1" applyAlignment="1">
      <alignment horizontal="center" vertical="center" wrapText="1"/>
    </xf>
    <xf numFmtId="2" fontId="6" fillId="21" borderId="35" xfId="0" applyNumberFormat="1" applyFont="1" applyFill="1" applyBorder="1" applyAlignment="1">
      <alignment horizontal="center" vertical="center" wrapText="1"/>
    </xf>
    <xf numFmtId="2" fontId="6" fillId="21" borderId="43" xfId="0" applyNumberFormat="1" applyFont="1" applyFill="1" applyBorder="1" applyAlignment="1">
      <alignment horizontal="center" vertical="center" wrapText="1"/>
    </xf>
    <xf numFmtId="2" fontId="6" fillId="8" borderId="32" xfId="0" applyNumberFormat="1" applyFont="1" applyFill="1" applyBorder="1" applyAlignment="1">
      <alignment horizontal="center" vertical="center" wrapText="1"/>
    </xf>
    <xf numFmtId="2" fontId="6" fillId="8" borderId="44" xfId="0" applyNumberFormat="1" applyFont="1" applyFill="1" applyBorder="1" applyAlignment="1">
      <alignment horizontal="center" vertical="center" wrapText="1"/>
    </xf>
    <xf numFmtId="49" fontId="6" fillId="4" borderId="0" xfId="0" applyNumberFormat="1" applyFont="1" applyFill="1" applyAlignment="1">
      <alignment horizontal="center" vertical="center" wrapText="1"/>
    </xf>
    <xf numFmtId="49" fontId="6" fillId="4" borderId="24" xfId="0" applyNumberFormat="1" applyFont="1" applyFill="1" applyBorder="1" applyAlignment="1">
      <alignment horizontal="center" vertical="center" wrapText="1"/>
    </xf>
    <xf numFmtId="2" fontId="6" fillId="0" borderId="32" xfId="0" applyNumberFormat="1" applyFont="1" applyBorder="1" applyAlignment="1">
      <alignment horizontal="center" vertical="center" wrapText="1"/>
    </xf>
    <xf numFmtId="2" fontId="6" fillId="0" borderId="44" xfId="0" applyNumberFormat="1" applyFont="1" applyBorder="1" applyAlignment="1">
      <alignment horizontal="center" vertical="center" wrapText="1"/>
    </xf>
    <xf numFmtId="0" fontId="9" fillId="4" borderId="48" xfId="0" applyFont="1" applyFill="1" applyBorder="1" applyAlignment="1">
      <alignment horizontal="center" vertical="center" wrapText="1"/>
    </xf>
    <xf numFmtId="0" fontId="6" fillId="4" borderId="38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66" xfId="0" applyFont="1" applyFill="1" applyBorder="1" applyAlignment="1">
      <alignment horizontal="center" vertical="center" wrapText="1"/>
    </xf>
    <xf numFmtId="2" fontId="6" fillId="21" borderId="66" xfId="0" applyNumberFormat="1" applyFont="1" applyFill="1" applyBorder="1" applyAlignment="1">
      <alignment horizontal="center" vertical="center" wrapText="1"/>
    </xf>
    <xf numFmtId="2" fontId="6" fillId="21" borderId="79" xfId="0" applyNumberFormat="1" applyFont="1" applyFill="1" applyBorder="1" applyAlignment="1">
      <alignment horizontal="center" vertical="center" wrapText="1"/>
    </xf>
    <xf numFmtId="2" fontId="6" fillId="21" borderId="53" xfId="0" applyNumberFormat="1" applyFont="1" applyFill="1" applyBorder="1" applyAlignment="1">
      <alignment horizontal="center" vertical="center" wrapText="1"/>
    </xf>
    <xf numFmtId="0" fontId="6" fillId="4" borderId="79" xfId="0" applyFont="1" applyFill="1" applyBorder="1" applyAlignment="1">
      <alignment horizontal="center" vertical="center" wrapText="1"/>
    </xf>
    <xf numFmtId="0" fontId="6" fillId="4" borderId="53" xfId="0" applyFont="1" applyFill="1" applyBorder="1" applyAlignment="1">
      <alignment horizontal="center" vertical="center" wrapText="1"/>
    </xf>
    <xf numFmtId="2" fontId="6" fillId="8" borderId="79" xfId="0" applyNumberFormat="1" applyFont="1" applyFill="1" applyBorder="1" applyAlignment="1">
      <alignment horizontal="center" vertical="center" wrapText="1"/>
    </xf>
    <xf numFmtId="2" fontId="6" fillId="8" borderId="47" xfId="0" applyNumberFormat="1" applyFont="1" applyFill="1" applyBorder="1" applyAlignment="1">
      <alignment horizontal="center" vertical="center" wrapText="1"/>
    </xf>
    <xf numFmtId="2" fontId="6" fillId="8" borderId="43" xfId="0" applyNumberFormat="1" applyFont="1" applyFill="1" applyBorder="1" applyAlignment="1">
      <alignment horizontal="center" vertical="center" wrapText="1"/>
    </xf>
    <xf numFmtId="0" fontId="9" fillId="4" borderId="23" xfId="0" applyFont="1" applyFill="1" applyBorder="1" applyAlignment="1">
      <alignment horizontal="center" vertical="center" wrapText="1"/>
    </xf>
    <xf numFmtId="0" fontId="9" fillId="4" borderId="35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9" fillId="4" borderId="62" xfId="7" applyFont="1" applyFill="1" applyBorder="1" applyAlignment="1">
      <alignment horizontal="center" vertical="center" wrapText="1"/>
    </xf>
    <xf numFmtId="0" fontId="9" fillId="4" borderId="14" xfId="7" applyFont="1" applyFill="1" applyBorder="1" applyAlignment="1">
      <alignment horizontal="center" vertical="center" wrapText="1"/>
    </xf>
    <xf numFmtId="0" fontId="9" fillId="4" borderId="25" xfId="7" applyFont="1" applyFill="1" applyBorder="1" applyAlignment="1">
      <alignment horizontal="center" vertical="center" wrapText="1"/>
    </xf>
    <xf numFmtId="0" fontId="10" fillId="4" borderId="49" xfId="0" applyFont="1" applyFill="1" applyBorder="1" applyAlignment="1">
      <alignment horizontal="center" vertical="center" wrapText="1"/>
    </xf>
    <xf numFmtId="0" fontId="10" fillId="4" borderId="22" xfId="0" applyFont="1" applyFill="1" applyBorder="1" applyAlignment="1">
      <alignment horizontal="center" vertical="center" wrapText="1"/>
    </xf>
    <xf numFmtId="0" fontId="10" fillId="4" borderId="63" xfId="0" applyFont="1" applyFill="1" applyBorder="1" applyAlignment="1">
      <alignment horizontal="center" vertical="center" wrapText="1"/>
    </xf>
    <xf numFmtId="0" fontId="9" fillId="4" borderId="56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9" fillId="4" borderId="55" xfId="0" applyFont="1" applyFill="1" applyBorder="1" applyAlignment="1">
      <alignment horizontal="center" vertical="center" wrapText="1"/>
    </xf>
    <xf numFmtId="0" fontId="9" fillId="4" borderId="56" xfId="7" applyFont="1" applyFill="1" applyBorder="1" applyAlignment="1">
      <alignment horizontal="center" vertical="center" wrapText="1"/>
    </xf>
    <xf numFmtId="0" fontId="9" fillId="4" borderId="11" xfId="7" applyFont="1" applyFill="1" applyBorder="1" applyAlignment="1">
      <alignment horizontal="center" vertical="center" wrapText="1"/>
    </xf>
    <xf numFmtId="0" fontId="9" fillId="4" borderId="55" xfId="7" applyFont="1" applyFill="1" applyBorder="1" applyAlignment="1">
      <alignment horizontal="center" vertical="center" wrapText="1"/>
    </xf>
    <xf numFmtId="0" fontId="9" fillId="4" borderId="48" xfId="7" applyFont="1" applyFill="1" applyBorder="1" applyAlignment="1">
      <alignment horizontal="center" vertical="center" wrapText="1"/>
    </xf>
    <xf numFmtId="2" fontId="6" fillId="4" borderId="15" xfId="0" applyNumberFormat="1" applyFont="1" applyFill="1" applyBorder="1" applyAlignment="1">
      <alignment horizontal="center" vertical="center" wrapText="1"/>
    </xf>
    <xf numFmtId="2" fontId="6" fillId="4" borderId="0" xfId="0" applyNumberFormat="1" applyFont="1" applyFill="1" applyAlignment="1">
      <alignment horizontal="center" vertical="center" wrapText="1"/>
    </xf>
    <xf numFmtId="2" fontId="6" fillId="4" borderId="24" xfId="0" applyNumberFormat="1" applyFont="1" applyFill="1" applyBorder="1" applyAlignment="1">
      <alignment horizontal="center" vertical="center" wrapText="1"/>
    </xf>
    <xf numFmtId="2" fontId="6" fillId="7" borderId="33" xfId="0" applyNumberFormat="1" applyFont="1" applyFill="1" applyBorder="1" applyAlignment="1">
      <alignment horizontal="center" vertical="center" wrapText="1"/>
    </xf>
    <xf numFmtId="2" fontId="6" fillId="7" borderId="53" xfId="0" applyNumberFormat="1" applyFont="1" applyFill="1" applyBorder="1" applyAlignment="1">
      <alignment horizontal="center" vertical="center" wrapText="1"/>
    </xf>
    <xf numFmtId="2" fontId="6" fillId="8" borderId="66" xfId="0" applyNumberFormat="1" applyFont="1" applyFill="1" applyBorder="1" applyAlignment="1">
      <alignment horizontal="center" vertical="center" wrapText="1"/>
    </xf>
    <xf numFmtId="2" fontId="6" fillId="8" borderId="59" xfId="0" applyNumberFormat="1" applyFont="1" applyFill="1" applyBorder="1" applyAlignment="1">
      <alignment horizontal="center" vertical="center" wrapText="1"/>
    </xf>
    <xf numFmtId="2" fontId="6" fillId="8" borderId="33" xfId="0" applyNumberFormat="1" applyFont="1" applyFill="1" applyBorder="1" applyAlignment="1">
      <alignment horizontal="center" vertical="center" wrapText="1"/>
    </xf>
    <xf numFmtId="2" fontId="6" fillId="4" borderId="79" xfId="0" applyNumberFormat="1" applyFont="1" applyFill="1" applyBorder="1" applyAlignment="1">
      <alignment horizontal="center" vertical="center" wrapText="1"/>
    </xf>
    <xf numFmtId="2" fontId="6" fillId="13" borderId="47" xfId="0" applyNumberFormat="1" applyFont="1" applyFill="1" applyBorder="1" applyAlignment="1">
      <alignment horizontal="center" vertical="center" wrapText="1"/>
    </xf>
    <xf numFmtId="2" fontId="6" fillId="4" borderId="66" xfId="0" applyNumberFormat="1" applyFont="1" applyFill="1" applyBorder="1" applyAlignment="1">
      <alignment horizontal="center" vertical="center" wrapText="1"/>
    </xf>
    <xf numFmtId="2" fontId="6" fillId="4" borderId="53" xfId="0" applyNumberFormat="1" applyFont="1" applyFill="1" applyBorder="1" applyAlignment="1">
      <alignment horizontal="center" vertical="center" wrapText="1"/>
    </xf>
    <xf numFmtId="2" fontId="6" fillId="13" borderId="15" xfId="0" applyNumberFormat="1" applyFont="1" applyFill="1" applyBorder="1" applyAlignment="1">
      <alignment horizontal="center" vertical="center" wrapText="1"/>
    </xf>
    <xf numFmtId="2" fontId="6" fillId="13" borderId="0" xfId="0" applyNumberFormat="1" applyFont="1" applyFill="1" applyAlignment="1">
      <alignment horizontal="center" vertical="center" wrapText="1"/>
    </xf>
    <xf numFmtId="0" fontId="6" fillId="7" borderId="33" xfId="0" applyFont="1" applyFill="1" applyBorder="1" applyAlignment="1">
      <alignment horizontal="center" vertical="center" wrapText="1"/>
    </xf>
    <xf numFmtId="0" fontId="6" fillId="7" borderId="79" xfId="0" applyFont="1" applyFill="1" applyBorder="1" applyAlignment="1">
      <alignment horizontal="center" vertical="center" wrapText="1"/>
    </xf>
    <xf numFmtId="0" fontId="6" fillId="7" borderId="53" xfId="0" applyFont="1" applyFill="1" applyBorder="1" applyAlignment="1">
      <alignment horizontal="center" vertical="center" wrapText="1"/>
    </xf>
    <xf numFmtId="0" fontId="6" fillId="4" borderId="59" xfId="0" applyFont="1" applyFill="1" applyBorder="1" applyAlignment="1">
      <alignment horizontal="center" vertical="center" wrapText="1"/>
    </xf>
    <xf numFmtId="2" fontId="6" fillId="8" borderId="75" xfId="0" applyNumberFormat="1" applyFont="1" applyFill="1" applyBorder="1" applyAlignment="1">
      <alignment horizontal="center" vertical="center" wrapText="1"/>
    </xf>
    <xf numFmtId="2" fontId="6" fillId="8" borderId="70" xfId="0" applyNumberFormat="1" applyFont="1" applyFill="1" applyBorder="1" applyAlignment="1">
      <alignment horizontal="center" vertical="center" wrapText="1"/>
    </xf>
    <xf numFmtId="2" fontId="6" fillId="8" borderId="40" xfId="0" applyNumberFormat="1" applyFont="1" applyFill="1" applyBorder="1" applyAlignment="1">
      <alignment horizontal="center" vertical="center" wrapText="1"/>
    </xf>
    <xf numFmtId="49" fontId="6" fillId="4" borderId="70" xfId="0" applyNumberFormat="1" applyFont="1" applyFill="1" applyBorder="1" applyAlignment="1">
      <alignment horizontal="center" vertical="center" wrapText="1"/>
    </xf>
    <xf numFmtId="49" fontId="6" fillId="4" borderId="40" xfId="0" applyNumberFormat="1" applyFont="1" applyFill="1" applyBorder="1" applyAlignment="1">
      <alignment horizontal="center" vertical="center" wrapText="1"/>
    </xf>
    <xf numFmtId="2" fontId="6" fillId="4" borderId="70" xfId="0" applyNumberFormat="1" applyFont="1" applyFill="1" applyBorder="1" applyAlignment="1">
      <alignment horizontal="center" vertical="center" wrapText="1"/>
    </xf>
    <xf numFmtId="2" fontId="6" fillId="4" borderId="40" xfId="0" applyNumberFormat="1" applyFont="1" applyFill="1" applyBorder="1" applyAlignment="1">
      <alignment horizontal="center" vertical="center" wrapText="1"/>
    </xf>
    <xf numFmtId="2" fontId="6" fillId="4" borderId="16" xfId="0" applyNumberFormat="1" applyFont="1" applyFill="1" applyBorder="1" applyAlignment="1">
      <alignment horizontal="center" vertical="center" wrapText="1"/>
    </xf>
    <xf numFmtId="2" fontId="6" fillId="4" borderId="37" xfId="0" applyNumberFormat="1" applyFont="1" applyFill="1" applyBorder="1" applyAlignment="1">
      <alignment horizontal="center" vertical="center" wrapText="1"/>
    </xf>
    <xf numFmtId="2" fontId="6" fillId="4" borderId="12" xfId="0" applyNumberFormat="1" applyFont="1" applyFill="1" applyBorder="1" applyAlignment="1">
      <alignment horizontal="center" vertical="center" wrapText="1"/>
    </xf>
    <xf numFmtId="2" fontId="6" fillId="4" borderId="50" xfId="0" applyNumberFormat="1" applyFont="1" applyFill="1" applyBorder="1" applyAlignment="1">
      <alignment horizontal="center" vertical="center" wrapText="1"/>
    </xf>
    <xf numFmtId="2" fontId="6" fillId="4" borderId="48" xfId="0" applyNumberFormat="1" applyFont="1" applyFill="1" applyBorder="1" applyAlignment="1">
      <alignment horizontal="center" wrapText="1"/>
    </xf>
    <xf numFmtId="2" fontId="6" fillId="4" borderId="35" xfId="0" applyNumberFormat="1" applyFont="1" applyFill="1" applyBorder="1" applyAlignment="1">
      <alignment horizontal="center" wrapText="1"/>
    </xf>
    <xf numFmtId="2" fontId="6" fillId="4" borderId="45" xfId="0" applyNumberFormat="1" applyFont="1" applyFill="1" applyBorder="1" applyAlignment="1">
      <alignment horizontal="center" vertical="center" wrapText="1"/>
    </xf>
    <xf numFmtId="2" fontId="6" fillId="4" borderId="20" xfId="0" applyNumberFormat="1" applyFont="1" applyFill="1" applyBorder="1" applyAlignment="1">
      <alignment horizontal="center" vertical="center" wrapText="1"/>
    </xf>
    <xf numFmtId="2" fontId="6" fillId="4" borderId="52" xfId="0" applyNumberFormat="1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wrapText="1"/>
    </xf>
    <xf numFmtId="0" fontId="6" fillId="4" borderId="35" xfId="0" applyFont="1" applyFill="1" applyBorder="1" applyAlignment="1">
      <alignment horizontal="center" wrapText="1"/>
    </xf>
    <xf numFmtId="2" fontId="6" fillId="4" borderId="82" xfId="0" applyNumberFormat="1" applyFont="1" applyFill="1" applyBorder="1" applyAlignment="1">
      <alignment horizontal="center" wrapText="1"/>
    </xf>
    <xf numFmtId="2" fontId="6" fillId="4" borderId="80" xfId="0" applyNumberFormat="1" applyFont="1" applyFill="1" applyBorder="1" applyAlignment="1">
      <alignment horizontal="center" wrapText="1"/>
    </xf>
    <xf numFmtId="2" fontId="6" fillId="4" borderId="45" xfId="0" applyNumberFormat="1" applyFont="1" applyFill="1" applyBorder="1" applyAlignment="1">
      <alignment horizontal="center" wrapText="1"/>
    </xf>
    <xf numFmtId="2" fontId="6" fillId="4" borderId="40" xfId="0" applyNumberFormat="1" applyFont="1" applyFill="1" applyBorder="1" applyAlignment="1">
      <alignment horizontal="center" wrapText="1"/>
    </xf>
    <xf numFmtId="2" fontId="6" fillId="4" borderId="20" xfId="0" applyNumberFormat="1" applyFont="1" applyFill="1" applyBorder="1" applyAlignment="1">
      <alignment horizontal="center" wrapText="1"/>
    </xf>
    <xf numFmtId="2" fontId="6" fillId="4" borderId="16" xfId="0" applyNumberFormat="1" applyFont="1" applyFill="1" applyBorder="1" applyAlignment="1">
      <alignment horizontal="center" wrapText="1"/>
    </xf>
    <xf numFmtId="2" fontId="6" fillId="4" borderId="37" xfId="0" applyNumberFormat="1" applyFont="1" applyFill="1" applyBorder="1" applyAlignment="1">
      <alignment horizontal="center" wrapText="1"/>
    </xf>
    <xf numFmtId="2" fontId="6" fillId="4" borderId="52" xfId="0" applyNumberFormat="1" applyFont="1" applyFill="1" applyBorder="1" applyAlignment="1">
      <alignment horizontal="center" wrapText="1"/>
    </xf>
    <xf numFmtId="2" fontId="6" fillId="4" borderId="12" xfId="0" applyNumberFormat="1" applyFont="1" applyFill="1" applyBorder="1" applyAlignment="1">
      <alignment horizontal="center" wrapText="1"/>
    </xf>
    <xf numFmtId="2" fontId="6" fillId="4" borderId="50" xfId="0" applyNumberFormat="1" applyFont="1" applyFill="1" applyBorder="1" applyAlignment="1">
      <alignment horizontal="center" wrapText="1"/>
    </xf>
    <xf numFmtId="0" fontId="6" fillId="4" borderId="48" xfId="0" applyFont="1" applyFill="1" applyBorder="1" applyAlignment="1">
      <alignment horizontal="center" wrapText="1"/>
    </xf>
    <xf numFmtId="2" fontId="6" fillId="8" borderId="45" xfId="0" applyNumberFormat="1" applyFont="1" applyFill="1" applyBorder="1" applyAlignment="1">
      <alignment horizontal="center" vertical="center" wrapText="1"/>
    </xf>
    <xf numFmtId="2" fontId="6" fillId="4" borderId="76" xfId="0" applyNumberFormat="1" applyFont="1" applyFill="1" applyBorder="1" applyAlignment="1">
      <alignment horizontal="center" wrapText="1"/>
    </xf>
    <xf numFmtId="2" fontId="6" fillId="4" borderId="75" xfId="0" applyNumberFormat="1" applyFont="1" applyFill="1" applyBorder="1" applyAlignment="1">
      <alignment horizontal="center" wrapText="1"/>
    </xf>
    <xf numFmtId="0" fontId="6" fillId="4" borderId="47" xfId="0" applyFont="1" applyFill="1" applyBorder="1" applyAlignment="1">
      <alignment horizontal="center" wrapText="1"/>
    </xf>
    <xf numFmtId="0" fontId="10" fillId="4" borderId="62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10" fillId="4" borderId="25" xfId="0" applyFont="1" applyFill="1" applyBorder="1" applyAlignment="1">
      <alignment horizontal="center" vertical="center" wrapText="1"/>
    </xf>
    <xf numFmtId="2" fontId="6" fillId="4" borderId="81" xfId="0" applyNumberFormat="1" applyFont="1" applyFill="1" applyBorder="1" applyAlignment="1">
      <alignment horizontal="center" wrapText="1"/>
    </xf>
    <xf numFmtId="2" fontId="6" fillId="4" borderId="70" xfId="0" applyNumberFormat="1" applyFont="1" applyFill="1" applyBorder="1" applyAlignment="1">
      <alignment horizontal="center" wrapText="1"/>
    </xf>
    <xf numFmtId="2" fontId="6" fillId="4" borderId="82" xfId="0" applyNumberFormat="1" applyFont="1" applyFill="1" applyBorder="1" applyAlignment="1">
      <alignment horizontal="center" vertical="center" wrapText="1"/>
    </xf>
    <xf numFmtId="2" fontId="6" fillId="4" borderId="81" xfId="0" applyNumberFormat="1" applyFont="1" applyFill="1" applyBorder="1" applyAlignment="1">
      <alignment horizontal="center" vertical="center" wrapText="1"/>
    </xf>
    <xf numFmtId="2" fontId="6" fillId="4" borderId="80" xfId="0" applyNumberFormat="1" applyFont="1" applyFill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0" fontId="6" fillId="0" borderId="1" xfId="0" applyFont="1" applyBorder="1" applyAlignment="1">
      <alignment horizontal="center" wrapText="1"/>
    </xf>
    <xf numFmtId="0" fontId="18" fillId="4" borderId="71" xfId="0" applyFont="1" applyFill="1" applyBorder="1" applyAlignment="1">
      <alignment horizontal="center" vertical="center" wrapText="1"/>
    </xf>
    <xf numFmtId="0" fontId="18" fillId="4" borderId="78" xfId="0" applyFont="1" applyFill="1" applyBorder="1" applyAlignment="1">
      <alignment horizontal="left" vertical="center" wrapText="1"/>
    </xf>
    <xf numFmtId="0" fontId="18" fillId="4" borderId="32" xfId="0" applyFont="1" applyFill="1" applyBorder="1" applyAlignment="1">
      <alignment horizontal="left" vertical="center" wrapText="1"/>
    </xf>
    <xf numFmtId="0" fontId="18" fillId="4" borderId="66" xfId="0" applyFont="1" applyFill="1" applyBorder="1" applyAlignment="1">
      <alignment horizontal="left" vertical="center" wrapText="1"/>
    </xf>
    <xf numFmtId="0" fontId="18" fillId="4" borderId="71" xfId="0" applyFont="1" applyFill="1" applyBorder="1" applyAlignment="1">
      <alignment horizontal="left" vertical="center" wrapText="1"/>
    </xf>
    <xf numFmtId="0" fontId="18" fillId="4" borderId="0" xfId="0" applyFont="1" applyFill="1" applyAlignment="1">
      <alignment horizontal="left" vertical="center" wrapText="1"/>
    </xf>
    <xf numFmtId="0" fontId="18" fillId="4" borderId="79" xfId="0" applyFont="1" applyFill="1" applyBorder="1" applyAlignment="1">
      <alignment horizontal="left" vertical="center" wrapText="1"/>
    </xf>
    <xf numFmtId="0" fontId="18" fillId="4" borderId="48" xfId="0" applyFont="1" applyFill="1" applyBorder="1" applyAlignment="1">
      <alignment horizontal="center" vertical="center" wrapText="1"/>
    </xf>
    <xf numFmtId="0" fontId="18" fillId="4" borderId="47" xfId="0" applyFont="1" applyFill="1" applyBorder="1" applyAlignment="1">
      <alignment horizontal="left" vertical="center" wrapText="1"/>
    </xf>
    <xf numFmtId="0" fontId="18" fillId="4" borderId="48" xfId="0" applyFont="1" applyFill="1" applyBorder="1" applyAlignment="1">
      <alignment horizontal="left" vertical="center" wrapText="1"/>
    </xf>
    <xf numFmtId="0" fontId="18" fillId="4" borderId="43" xfId="0" applyFont="1" applyFill="1" applyBorder="1" applyAlignment="1">
      <alignment horizontal="left" vertical="center" wrapText="1"/>
    </xf>
    <xf numFmtId="0" fontId="5" fillId="4" borderId="0" xfId="0" applyFont="1" applyFill="1" applyAlignment="1">
      <alignment horizontal="center" vertical="center" wrapText="1"/>
    </xf>
    <xf numFmtId="49" fontId="18" fillId="4" borderId="48" xfId="0" applyNumberFormat="1" applyFont="1" applyFill="1" applyBorder="1" applyAlignment="1">
      <alignment horizontal="center" vertical="center" wrapText="1"/>
    </xf>
    <xf numFmtId="49" fontId="18" fillId="4" borderId="43" xfId="0" applyNumberFormat="1" applyFont="1" applyFill="1" applyBorder="1" applyAlignment="1">
      <alignment horizontal="center" vertical="center" wrapText="1"/>
    </xf>
    <xf numFmtId="49" fontId="18" fillId="4" borderId="47" xfId="0" applyNumberFormat="1" applyFont="1" applyFill="1" applyBorder="1" applyAlignment="1">
      <alignment horizontal="center" vertical="center" wrapText="1"/>
    </xf>
    <xf numFmtId="0" fontId="18" fillId="4" borderId="47" xfId="0" applyFont="1" applyFill="1" applyBorder="1" applyAlignment="1">
      <alignment horizontal="center" vertical="center" wrapText="1"/>
    </xf>
    <xf numFmtId="0" fontId="18" fillId="4" borderId="43" xfId="0" applyFont="1" applyFill="1" applyBorder="1" applyAlignment="1">
      <alignment horizontal="center" vertical="center" wrapText="1"/>
    </xf>
    <xf numFmtId="0" fontId="18" fillId="4" borderId="48" xfId="7" applyFont="1" applyFill="1" applyBorder="1" applyAlignment="1">
      <alignment horizontal="center" vertical="center" wrapText="1"/>
    </xf>
    <xf numFmtId="0" fontId="18" fillId="4" borderId="43" xfId="7" applyFont="1" applyFill="1" applyBorder="1" applyAlignment="1">
      <alignment horizontal="center" vertical="center" wrapText="1"/>
    </xf>
    <xf numFmtId="2" fontId="18" fillId="4" borderId="42" xfId="0" applyNumberFormat="1" applyFont="1" applyFill="1" applyBorder="1" applyAlignment="1">
      <alignment horizontal="center" vertical="center" wrapText="1"/>
    </xf>
    <xf numFmtId="2" fontId="18" fillId="4" borderId="31" xfId="0" applyNumberFormat="1" applyFont="1" applyFill="1" applyBorder="1" applyAlignment="1">
      <alignment horizontal="center" vertical="center" wrapText="1"/>
    </xf>
    <xf numFmtId="2" fontId="18" fillId="4" borderId="45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18" fillId="4" borderId="78" xfId="0" applyFont="1" applyFill="1" applyBorder="1" applyAlignment="1">
      <alignment horizontal="center" vertical="center" wrapText="1"/>
    </xf>
    <xf numFmtId="0" fontId="18" fillId="4" borderId="57" xfId="0" applyFont="1" applyFill="1" applyBorder="1" applyAlignment="1">
      <alignment horizontal="center" vertical="center" wrapText="1"/>
    </xf>
    <xf numFmtId="0" fontId="18" fillId="3" borderId="78" xfId="0" applyFont="1" applyFill="1" applyBorder="1" applyAlignment="1">
      <alignment horizontal="center" vertical="center" wrapText="1"/>
    </xf>
    <xf numFmtId="0" fontId="18" fillId="3" borderId="71" xfId="0" applyFont="1" applyFill="1" applyBorder="1" applyAlignment="1">
      <alignment horizontal="center" vertical="center" wrapText="1"/>
    </xf>
    <xf numFmtId="0" fontId="18" fillId="3" borderId="57" xfId="0" applyFont="1" applyFill="1" applyBorder="1" applyAlignment="1">
      <alignment horizontal="center" vertical="center" wrapText="1"/>
    </xf>
    <xf numFmtId="0" fontId="18" fillId="3" borderId="47" xfId="0" applyFont="1" applyFill="1" applyBorder="1" applyAlignment="1">
      <alignment horizontal="left" vertical="center" wrapText="1"/>
    </xf>
    <xf numFmtId="0" fontId="18" fillId="3" borderId="48" xfId="0" applyFont="1" applyFill="1" applyBorder="1" applyAlignment="1">
      <alignment horizontal="left" vertical="center" wrapText="1"/>
    </xf>
    <xf numFmtId="0" fontId="18" fillId="3" borderId="43" xfId="0" applyFont="1" applyFill="1" applyBorder="1" applyAlignment="1">
      <alignment horizontal="left" vertical="center" wrapText="1"/>
    </xf>
    <xf numFmtId="49" fontId="18" fillId="3" borderId="47" xfId="0" applyNumberFormat="1" applyFont="1" applyFill="1" applyBorder="1" applyAlignment="1">
      <alignment horizontal="center" vertical="center" wrapText="1"/>
    </xf>
    <xf numFmtId="49" fontId="18" fillId="3" borderId="48" xfId="0" applyNumberFormat="1" applyFont="1" applyFill="1" applyBorder="1" applyAlignment="1">
      <alignment horizontal="center" vertical="center" wrapText="1"/>
    </xf>
    <xf numFmtId="49" fontId="18" fillId="3" borderId="43" xfId="0" applyNumberFormat="1" applyFont="1" applyFill="1" applyBorder="1" applyAlignment="1">
      <alignment horizontal="center" vertical="center" wrapText="1"/>
    </xf>
    <xf numFmtId="0" fontId="18" fillId="3" borderId="47" xfId="0" applyFont="1" applyFill="1" applyBorder="1" applyAlignment="1">
      <alignment horizontal="center" vertical="center" wrapText="1"/>
    </xf>
    <xf numFmtId="0" fontId="18" fillId="3" borderId="48" xfId="0" applyFont="1" applyFill="1" applyBorder="1" applyAlignment="1">
      <alignment horizontal="center" vertical="center" wrapText="1"/>
    </xf>
    <xf numFmtId="0" fontId="18" fillId="3" borderId="43" xfId="0" applyFont="1" applyFill="1" applyBorder="1" applyAlignment="1">
      <alignment horizontal="center" vertical="center" wrapText="1"/>
    </xf>
    <xf numFmtId="0" fontId="18" fillId="4" borderId="32" xfId="0" applyFont="1" applyFill="1" applyBorder="1" applyAlignment="1">
      <alignment horizontal="center" vertical="center" wrapText="1"/>
    </xf>
    <xf numFmtId="0" fontId="18" fillId="4" borderId="0" xfId="0" applyFont="1" applyFill="1" applyAlignment="1">
      <alignment horizontal="center" vertical="center" wrapText="1"/>
    </xf>
    <xf numFmtId="0" fontId="18" fillId="4" borderId="44" xfId="0" applyFont="1" applyFill="1" applyBorder="1" applyAlignment="1">
      <alignment horizontal="center" vertical="center" wrapText="1"/>
    </xf>
    <xf numFmtId="0" fontId="18" fillId="4" borderId="47" xfId="7" applyFont="1" applyFill="1" applyBorder="1" applyAlignment="1">
      <alignment horizontal="center" vertical="center" wrapText="1"/>
    </xf>
    <xf numFmtId="0" fontId="18" fillId="4" borderId="48" xfId="0" applyFont="1" applyFill="1" applyBorder="1" applyAlignment="1">
      <alignment horizontal="center" vertical="top" wrapText="1"/>
    </xf>
    <xf numFmtId="0" fontId="18" fillId="4" borderId="23" xfId="0" applyFont="1" applyFill="1" applyBorder="1" applyAlignment="1">
      <alignment horizontal="left" vertical="center" wrapText="1"/>
    </xf>
    <xf numFmtId="0" fontId="18" fillId="4" borderId="35" xfId="0" applyFont="1" applyFill="1" applyBorder="1" applyAlignment="1">
      <alignment horizontal="left" vertical="center" wrapText="1"/>
    </xf>
    <xf numFmtId="0" fontId="18" fillId="4" borderId="23" xfId="0" applyFont="1" applyFill="1" applyBorder="1" applyAlignment="1">
      <alignment horizontal="center" vertical="center" wrapText="1"/>
    </xf>
    <xf numFmtId="0" fontId="18" fillId="4" borderId="35" xfId="0" applyFont="1" applyFill="1" applyBorder="1" applyAlignment="1">
      <alignment horizontal="center" vertical="center" wrapText="1"/>
    </xf>
    <xf numFmtId="0" fontId="18" fillId="4" borderId="26" xfId="0" applyFont="1" applyFill="1" applyBorder="1" applyAlignment="1">
      <alignment horizontal="center" vertical="center" wrapText="1"/>
    </xf>
    <xf numFmtId="0" fontId="18" fillId="4" borderId="36" xfId="0" applyFont="1" applyFill="1" applyBorder="1" applyAlignment="1">
      <alignment horizontal="center" vertical="center" wrapText="1"/>
    </xf>
    <xf numFmtId="49" fontId="18" fillId="4" borderId="23" xfId="0" applyNumberFormat="1" applyFont="1" applyFill="1" applyBorder="1" applyAlignment="1">
      <alignment horizontal="center" vertical="center" wrapText="1"/>
    </xf>
    <xf numFmtId="49" fontId="18" fillId="4" borderId="35" xfId="0" applyNumberFormat="1" applyFont="1" applyFill="1" applyBorder="1" applyAlignment="1">
      <alignment horizontal="center" vertical="center" wrapText="1"/>
    </xf>
    <xf numFmtId="0" fontId="18" fillId="4" borderId="32" xfId="7" applyFont="1" applyFill="1" applyBorder="1" applyAlignment="1">
      <alignment horizontal="center" vertical="center" wrapText="1"/>
    </xf>
    <xf numFmtId="0" fontId="18" fillId="4" borderId="0" xfId="7" applyFont="1" applyFill="1" applyAlignment="1">
      <alignment horizontal="center" vertical="center" wrapText="1"/>
    </xf>
    <xf numFmtId="0" fontId="18" fillId="4" borderId="44" xfId="7" applyFont="1" applyFill="1" applyBorder="1" applyAlignment="1">
      <alignment horizontal="center" vertical="center" wrapText="1"/>
    </xf>
    <xf numFmtId="0" fontId="18" fillId="4" borderId="24" xfId="0" applyFont="1" applyFill="1" applyBorder="1" applyAlignment="1">
      <alignment horizontal="center" vertical="center" wrapText="1"/>
    </xf>
    <xf numFmtId="2" fontId="18" fillId="4" borderId="47" xfId="0" applyNumberFormat="1" applyFont="1" applyFill="1" applyBorder="1" applyAlignment="1">
      <alignment horizontal="center" vertical="center" wrapText="1"/>
    </xf>
    <xf numFmtId="2" fontId="18" fillId="4" borderId="43" xfId="0" applyNumberFormat="1" applyFont="1" applyFill="1" applyBorder="1" applyAlignment="1">
      <alignment horizontal="center" vertical="center" wrapText="1"/>
    </xf>
    <xf numFmtId="2" fontId="18" fillId="4" borderId="32" xfId="0" applyNumberFormat="1" applyFont="1" applyFill="1" applyBorder="1" applyAlignment="1">
      <alignment horizontal="center" vertical="center" wrapText="1"/>
    </xf>
    <xf numFmtId="2" fontId="18" fillId="4" borderId="0" xfId="0" applyNumberFormat="1" applyFont="1" applyFill="1" applyAlignment="1">
      <alignment horizontal="center" vertical="center" wrapText="1"/>
    </xf>
    <xf numFmtId="2" fontId="18" fillId="4" borderId="24" xfId="0" applyNumberFormat="1" applyFont="1" applyFill="1" applyBorder="1" applyAlignment="1">
      <alignment horizontal="center" vertical="center" wrapText="1"/>
    </xf>
    <xf numFmtId="0" fontId="18" fillId="4" borderId="48" xfId="0" applyFont="1" applyFill="1" applyBorder="1" applyAlignment="1">
      <alignment vertical="top" wrapText="1"/>
    </xf>
    <xf numFmtId="0" fontId="18" fillId="4" borderId="43" xfId="0" applyFont="1" applyFill="1" applyBorder="1" applyAlignment="1">
      <alignment vertical="top" wrapText="1"/>
    </xf>
    <xf numFmtId="0" fontId="18" fillId="4" borderId="48" xfId="0" applyFont="1" applyFill="1" applyBorder="1" applyAlignment="1">
      <alignment vertical="center" wrapText="1"/>
    </xf>
    <xf numFmtId="0" fontId="18" fillId="4" borderId="43" xfId="0" applyFont="1" applyFill="1" applyBorder="1" applyAlignment="1">
      <alignment vertical="center" wrapText="1"/>
    </xf>
    <xf numFmtId="0" fontId="18" fillId="4" borderId="23" xfId="0" applyFont="1" applyFill="1" applyBorder="1" applyAlignment="1">
      <alignment horizontal="left" vertical="top" wrapText="1"/>
    </xf>
    <xf numFmtId="0" fontId="18" fillId="4" borderId="43" xfId="0" applyFont="1" applyFill="1" applyBorder="1" applyAlignment="1">
      <alignment horizontal="left" vertical="top" wrapText="1"/>
    </xf>
    <xf numFmtId="0" fontId="39" fillId="14" borderId="47" xfId="0" applyFont="1" applyFill="1" applyBorder="1" applyAlignment="1">
      <alignment horizontal="left" vertical="center" wrapText="1"/>
    </xf>
    <xf numFmtId="0" fontId="39" fillId="14" borderId="48" xfId="0" applyFont="1" applyFill="1" applyBorder="1" applyAlignment="1">
      <alignment horizontal="left" vertical="center" wrapText="1"/>
    </xf>
    <xf numFmtId="0" fontId="18" fillId="4" borderId="71" xfId="7" applyFont="1" applyFill="1" applyBorder="1" applyAlignment="1">
      <alignment horizontal="center" vertical="center" wrapText="1"/>
    </xf>
    <xf numFmtId="0" fontId="18" fillId="4" borderId="57" xfId="7" applyFont="1" applyFill="1" applyBorder="1" applyAlignment="1">
      <alignment horizontal="center" vertical="center" wrapText="1"/>
    </xf>
    <xf numFmtId="2" fontId="18" fillId="4" borderId="47" xfId="0" applyNumberFormat="1" applyFont="1" applyFill="1" applyBorder="1" applyAlignment="1" applyProtection="1">
      <alignment horizontal="center" vertical="center" wrapText="1"/>
      <protection locked="0"/>
    </xf>
    <xf numFmtId="2" fontId="18" fillId="4" borderId="48" xfId="0" applyNumberFormat="1" applyFont="1" applyFill="1" applyBorder="1" applyAlignment="1" applyProtection="1">
      <alignment horizontal="center" vertical="center" wrapText="1"/>
      <protection locked="0"/>
    </xf>
    <xf numFmtId="2" fontId="18" fillId="4" borderId="43" xfId="0" applyNumberFormat="1" applyFont="1" applyFill="1" applyBorder="1" applyAlignment="1" applyProtection="1">
      <alignment horizontal="center" vertical="center" wrapText="1"/>
      <protection locked="0"/>
    </xf>
    <xf numFmtId="1" fontId="18" fillId="4" borderId="47" xfId="0" applyNumberFormat="1" applyFont="1" applyFill="1" applyBorder="1" applyAlignment="1" applyProtection="1">
      <alignment horizontal="center" vertical="center" wrapText="1"/>
      <protection locked="0"/>
    </xf>
    <xf numFmtId="1" fontId="18" fillId="4" borderId="48" xfId="0" applyNumberFormat="1" applyFont="1" applyFill="1" applyBorder="1" applyAlignment="1" applyProtection="1">
      <alignment horizontal="center" vertical="center" wrapText="1"/>
      <protection locked="0"/>
    </xf>
    <xf numFmtId="1" fontId="18" fillId="4" borderId="43" xfId="0" applyNumberFormat="1" applyFont="1" applyFill="1" applyBorder="1" applyAlignment="1" applyProtection="1">
      <alignment horizontal="center" vertical="center" wrapText="1"/>
      <protection locked="0"/>
    </xf>
    <xf numFmtId="0" fontId="18" fillId="4" borderId="48" xfId="0" applyFont="1" applyFill="1" applyBorder="1" applyAlignment="1">
      <alignment horizontal="left" vertical="top" wrapText="1"/>
    </xf>
    <xf numFmtId="0" fontId="18" fillId="4" borderId="47" xfId="0" applyFont="1" applyFill="1" applyBorder="1" applyAlignment="1">
      <alignment horizontal="left" vertical="top" wrapText="1"/>
    </xf>
    <xf numFmtId="49" fontId="18" fillId="4" borderId="78" xfId="0" applyNumberFormat="1" applyFont="1" applyFill="1" applyBorder="1" applyAlignment="1">
      <alignment horizontal="center" vertical="center" wrapText="1"/>
    </xf>
    <xf numFmtId="49" fontId="18" fillId="4" borderId="71" xfId="0" applyNumberFormat="1" applyFont="1" applyFill="1" applyBorder="1" applyAlignment="1">
      <alignment horizontal="center" vertical="center" wrapText="1"/>
    </xf>
    <xf numFmtId="49" fontId="18" fillId="4" borderId="57" xfId="0" applyNumberFormat="1" applyFont="1" applyFill="1" applyBorder="1" applyAlignment="1">
      <alignment horizontal="center" vertical="center" wrapText="1"/>
    </xf>
    <xf numFmtId="0" fontId="18" fillId="4" borderId="16" xfId="0" applyFont="1" applyFill="1" applyBorder="1" applyAlignment="1">
      <alignment horizontal="center" vertical="center" wrapText="1"/>
    </xf>
    <xf numFmtId="0" fontId="18" fillId="4" borderId="74" xfId="0" applyFont="1" applyFill="1" applyBorder="1" applyAlignment="1">
      <alignment horizontal="center" vertical="center" wrapText="1"/>
    </xf>
    <xf numFmtId="0" fontId="18" fillId="4" borderId="12" xfId="0" applyFont="1" applyFill="1" applyBorder="1" applyAlignment="1">
      <alignment horizontal="center" vertical="center" wrapText="1"/>
    </xf>
    <xf numFmtId="0" fontId="18" fillId="4" borderId="56" xfId="0" applyFont="1" applyFill="1" applyBorder="1" applyAlignment="1">
      <alignment horizontal="center" vertical="center" wrapText="1"/>
    </xf>
    <xf numFmtId="0" fontId="18" fillId="4" borderId="55" xfId="0" applyFont="1" applyFill="1" applyBorder="1" applyAlignment="1">
      <alignment horizontal="center" vertical="center" wrapText="1"/>
    </xf>
    <xf numFmtId="0" fontId="18" fillId="4" borderId="62" xfId="0" applyFont="1" applyFill="1" applyBorder="1" applyAlignment="1">
      <alignment horizontal="center" vertical="center" wrapText="1"/>
    </xf>
    <xf numFmtId="0" fontId="18" fillId="4" borderId="15" xfId="0" applyFont="1" applyFill="1" applyBorder="1" applyAlignment="1">
      <alignment horizontal="center" vertical="center" wrapText="1"/>
    </xf>
    <xf numFmtId="2" fontId="18" fillId="4" borderId="44" xfId="0" applyNumberFormat="1" applyFont="1" applyFill="1" applyBorder="1" applyAlignment="1">
      <alignment horizontal="center" vertical="center" wrapText="1"/>
    </xf>
    <xf numFmtId="0" fontId="18" fillId="4" borderId="66" xfId="0" applyFont="1" applyFill="1" applyBorder="1" applyAlignment="1">
      <alignment horizontal="center" vertical="center" wrapText="1"/>
    </xf>
    <xf numFmtId="0" fontId="18" fillId="4" borderId="79" xfId="0" applyFont="1" applyFill="1" applyBorder="1" applyAlignment="1">
      <alignment horizontal="center" vertical="center" wrapText="1"/>
    </xf>
    <xf numFmtId="0" fontId="18" fillId="4" borderId="59" xfId="0" applyFont="1" applyFill="1" applyBorder="1" applyAlignment="1">
      <alignment horizontal="center" vertical="center" wrapText="1"/>
    </xf>
    <xf numFmtId="0" fontId="18" fillId="4" borderId="77" xfId="0" applyFont="1" applyFill="1" applyBorder="1" applyAlignment="1">
      <alignment horizontal="center" vertical="center" wrapText="1"/>
    </xf>
    <xf numFmtId="0" fontId="18" fillId="4" borderId="69" xfId="0" applyFont="1" applyFill="1" applyBorder="1" applyAlignment="1">
      <alignment horizontal="center" vertical="center" wrapText="1"/>
    </xf>
    <xf numFmtId="0" fontId="18" fillId="4" borderId="38" xfId="0" applyFont="1" applyFill="1" applyBorder="1" applyAlignment="1">
      <alignment horizontal="center" vertical="center" wrapText="1"/>
    </xf>
    <xf numFmtId="0" fontId="18" fillId="4" borderId="17" xfId="0" applyFont="1" applyFill="1" applyBorder="1" applyAlignment="1">
      <alignment horizontal="center" vertical="center" wrapText="1"/>
    </xf>
    <xf numFmtId="0" fontId="18" fillId="4" borderId="18" xfId="0" applyFont="1" applyFill="1" applyBorder="1" applyAlignment="1">
      <alignment horizontal="center" vertical="center" wrapText="1"/>
    </xf>
    <xf numFmtId="2" fontId="18" fillId="4" borderId="28" xfId="0" applyNumberFormat="1" applyFont="1" applyFill="1" applyBorder="1" applyAlignment="1">
      <alignment horizontal="center" vertical="center" wrapText="1"/>
    </xf>
    <xf numFmtId="2" fontId="18" fillId="4" borderId="1" xfId="0" applyNumberFormat="1" applyFont="1" applyFill="1" applyBorder="1" applyAlignment="1">
      <alignment horizontal="center" vertical="center" wrapText="1"/>
    </xf>
    <xf numFmtId="2" fontId="18" fillId="4" borderId="30" xfId="0" applyNumberFormat="1" applyFont="1" applyFill="1" applyBorder="1" applyAlignment="1">
      <alignment horizontal="center" vertical="center" wrapText="1"/>
    </xf>
    <xf numFmtId="0" fontId="18" fillId="4" borderId="35" xfId="7" applyFont="1" applyFill="1" applyBorder="1" applyAlignment="1">
      <alignment horizontal="center" vertical="center" wrapText="1"/>
    </xf>
    <xf numFmtId="0" fontId="18" fillId="4" borderId="56" xfId="7" applyFont="1" applyFill="1" applyBorder="1" applyAlignment="1">
      <alignment horizontal="center" vertical="center" wrapText="1"/>
    </xf>
    <xf numFmtId="0" fontId="18" fillId="4" borderId="11" xfId="7" applyFont="1" applyFill="1" applyBorder="1" applyAlignment="1">
      <alignment horizontal="center" vertical="center" wrapText="1"/>
    </xf>
    <xf numFmtId="0" fontId="18" fillId="4" borderId="55" xfId="7" applyFont="1" applyFill="1" applyBorder="1" applyAlignment="1">
      <alignment horizontal="center" vertical="center" wrapText="1"/>
    </xf>
    <xf numFmtId="0" fontId="18" fillId="4" borderId="11" xfId="0" applyFont="1" applyFill="1" applyBorder="1" applyAlignment="1">
      <alignment horizontal="center" vertical="center" wrapText="1"/>
    </xf>
    <xf numFmtId="0" fontId="18" fillId="4" borderId="49" xfId="0" applyFont="1" applyFill="1" applyBorder="1" applyAlignment="1">
      <alignment horizontal="center" vertical="center" wrapText="1"/>
    </xf>
    <xf numFmtId="0" fontId="18" fillId="4" borderId="22" xfId="0" applyFont="1" applyFill="1" applyBorder="1" applyAlignment="1">
      <alignment horizontal="center" vertical="center" wrapText="1"/>
    </xf>
    <xf numFmtId="0" fontId="18" fillId="4" borderId="63" xfId="0" applyFont="1" applyFill="1" applyBorder="1" applyAlignment="1">
      <alignment horizontal="center" vertical="center" wrapText="1"/>
    </xf>
    <xf numFmtId="49" fontId="18" fillId="4" borderId="32" xfId="0" applyNumberFormat="1" applyFont="1" applyFill="1" applyBorder="1" applyAlignment="1">
      <alignment horizontal="center" vertical="center" wrapText="1"/>
    </xf>
    <xf numFmtId="49" fontId="18" fillId="4" borderId="0" xfId="0" applyNumberFormat="1" applyFont="1" applyFill="1" applyAlignment="1">
      <alignment horizontal="center" vertical="center" wrapText="1"/>
    </xf>
    <xf numFmtId="49" fontId="18" fillId="4" borderId="44" xfId="0" applyNumberFormat="1" applyFont="1" applyFill="1" applyBorder="1" applyAlignment="1">
      <alignment horizontal="center" vertical="center" wrapText="1"/>
    </xf>
    <xf numFmtId="49" fontId="18" fillId="4" borderId="49" xfId="0" applyNumberFormat="1" applyFont="1" applyFill="1" applyBorder="1" applyAlignment="1">
      <alignment horizontal="center" vertical="center" wrapText="1"/>
    </xf>
    <xf numFmtId="49" fontId="18" fillId="4" borderId="22" xfId="0" applyNumberFormat="1" applyFont="1" applyFill="1" applyBorder="1" applyAlignment="1">
      <alignment horizontal="center" vertical="center" wrapText="1"/>
    </xf>
    <xf numFmtId="49" fontId="18" fillId="4" borderId="63" xfId="0" applyNumberFormat="1" applyFont="1" applyFill="1" applyBorder="1" applyAlignment="1">
      <alignment horizontal="center" vertical="center" wrapText="1"/>
    </xf>
    <xf numFmtId="0" fontId="18" fillId="4" borderId="47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8" fillId="4" borderId="35" xfId="0" applyFont="1" applyFill="1" applyBorder="1" applyAlignment="1">
      <alignment horizontal="left" vertical="top" wrapText="1"/>
    </xf>
    <xf numFmtId="0" fontId="18" fillId="4" borderId="78" xfId="7" applyFont="1" applyFill="1" applyBorder="1" applyAlignment="1">
      <alignment horizontal="center" vertical="center" wrapText="1"/>
    </xf>
    <xf numFmtId="0" fontId="18" fillId="4" borderId="68" xfId="0" applyFont="1" applyFill="1" applyBorder="1" applyAlignment="1">
      <alignment horizontal="center" vertical="center" wrapText="1"/>
    </xf>
    <xf numFmtId="49" fontId="18" fillId="4" borderId="82" xfId="0" applyNumberFormat="1" applyFont="1" applyFill="1" applyBorder="1" applyAlignment="1">
      <alignment horizontal="center" vertical="center" wrapText="1"/>
    </xf>
    <xf numFmtId="49" fontId="18" fillId="4" borderId="77" xfId="0" applyNumberFormat="1" applyFont="1" applyFill="1" applyBorder="1" applyAlignment="1">
      <alignment horizontal="center" vertical="center" wrapText="1"/>
    </xf>
    <xf numFmtId="0" fontId="18" fillId="4" borderId="23" xfId="7" applyFont="1" applyFill="1" applyBorder="1" applyAlignment="1">
      <alignment horizontal="center" vertical="center" wrapText="1"/>
    </xf>
    <xf numFmtId="0" fontId="18" fillId="4" borderId="59" xfId="0" applyFont="1" applyFill="1" applyBorder="1" applyAlignment="1">
      <alignment horizontal="left" vertical="center" wrapText="1"/>
    </xf>
    <xf numFmtId="0" fontId="40" fillId="3" borderId="47" xfId="0" applyFont="1" applyFill="1" applyBorder="1" applyAlignment="1">
      <alignment horizontal="left" vertical="center" wrapText="1"/>
    </xf>
    <xf numFmtId="0" fontId="18" fillId="3" borderId="47" xfId="7" applyFont="1" applyFill="1" applyBorder="1" applyAlignment="1">
      <alignment horizontal="center" vertical="center" wrapText="1"/>
    </xf>
    <xf numFmtId="0" fontId="18" fillId="3" borderId="48" xfId="7" applyFont="1" applyFill="1" applyBorder="1" applyAlignment="1">
      <alignment horizontal="center" vertical="center" wrapText="1"/>
    </xf>
    <xf numFmtId="0" fontId="18" fillId="3" borderId="43" xfId="7" applyFont="1" applyFill="1" applyBorder="1" applyAlignment="1">
      <alignment horizontal="center" vertical="center" wrapText="1"/>
    </xf>
    <xf numFmtId="0" fontId="19" fillId="4" borderId="47" xfId="0" applyFont="1" applyFill="1" applyBorder="1" applyAlignment="1">
      <alignment horizontal="left" vertical="center" wrapText="1"/>
    </xf>
    <xf numFmtId="0" fontId="18" fillId="9" borderId="47" xfId="0" applyFont="1" applyFill="1" applyBorder="1" applyAlignment="1">
      <alignment horizontal="center" vertical="center" wrapText="1"/>
    </xf>
    <xf numFmtId="0" fontId="18" fillId="9" borderId="48" xfId="0" applyFont="1" applyFill="1" applyBorder="1" applyAlignment="1">
      <alignment horizontal="center" vertical="center" wrapText="1"/>
    </xf>
    <xf numFmtId="0" fontId="18" fillId="9" borderId="43" xfId="0" applyFont="1" applyFill="1" applyBorder="1" applyAlignment="1">
      <alignment horizontal="center" vertical="center" wrapText="1"/>
    </xf>
    <xf numFmtId="0" fontId="18" fillId="9" borderId="47" xfId="0" applyFont="1" applyFill="1" applyBorder="1" applyAlignment="1">
      <alignment horizontal="left" vertical="center" wrapText="1"/>
    </xf>
    <xf numFmtId="0" fontId="18" fillId="9" borderId="48" xfId="0" applyFont="1" applyFill="1" applyBorder="1" applyAlignment="1">
      <alignment horizontal="left" vertical="center" wrapText="1"/>
    </xf>
    <xf numFmtId="0" fontId="18" fillId="9" borderId="43" xfId="0" applyFont="1" applyFill="1" applyBorder="1" applyAlignment="1">
      <alignment horizontal="left" vertical="center" wrapText="1"/>
    </xf>
    <xf numFmtId="0" fontId="18" fillId="9" borderId="32" xfId="7" applyFont="1" applyFill="1" applyBorder="1" applyAlignment="1">
      <alignment horizontal="center" vertical="center" wrapText="1"/>
    </xf>
    <xf numFmtId="0" fontId="18" fillId="9" borderId="0" xfId="7" applyFont="1" applyFill="1" applyAlignment="1">
      <alignment horizontal="center" vertical="center" wrapText="1"/>
    </xf>
    <xf numFmtId="0" fontId="18" fillId="9" borderId="44" xfId="7" applyFont="1" applyFill="1" applyBorder="1" applyAlignment="1">
      <alignment horizontal="center" vertical="center" wrapText="1"/>
    </xf>
    <xf numFmtId="49" fontId="18" fillId="9" borderId="32" xfId="0" applyNumberFormat="1" applyFont="1" applyFill="1" applyBorder="1" applyAlignment="1">
      <alignment horizontal="center" vertical="center" wrapText="1"/>
    </xf>
    <xf numFmtId="49" fontId="18" fillId="9" borderId="0" xfId="0" applyNumberFormat="1" applyFont="1" applyFill="1" applyAlignment="1">
      <alignment horizontal="center" vertical="center" wrapText="1"/>
    </xf>
    <xf numFmtId="49" fontId="18" fillId="9" borderId="44" xfId="0" applyNumberFormat="1" applyFont="1" applyFill="1" applyBorder="1" applyAlignment="1">
      <alignment horizontal="center" vertical="center" wrapText="1"/>
    </xf>
    <xf numFmtId="2" fontId="18" fillId="7" borderId="28" xfId="0" applyNumberFormat="1" applyFont="1" applyFill="1" applyBorder="1" applyAlignment="1">
      <alignment horizontal="center" vertical="center" wrapText="1"/>
    </xf>
    <xf numFmtId="2" fontId="18" fillId="7" borderId="1" xfId="0" applyNumberFormat="1" applyFont="1" applyFill="1" applyBorder="1" applyAlignment="1">
      <alignment horizontal="center" vertical="center" wrapText="1"/>
    </xf>
    <xf numFmtId="2" fontId="18" fillId="7" borderId="30" xfId="0" applyNumberFormat="1" applyFont="1" applyFill="1" applyBorder="1" applyAlignment="1">
      <alignment horizontal="center" vertical="center" wrapText="1"/>
    </xf>
    <xf numFmtId="49" fontId="18" fillId="7" borderId="82" xfId="0" applyNumberFormat="1" applyFont="1" applyFill="1" applyBorder="1" applyAlignment="1">
      <alignment horizontal="center" vertical="center" wrapText="1"/>
    </xf>
    <xf numFmtId="49" fontId="18" fillId="7" borderId="77" xfId="0" applyNumberFormat="1" applyFont="1" applyFill="1" applyBorder="1" applyAlignment="1">
      <alignment horizontal="center" vertical="center" wrapText="1"/>
    </xf>
    <xf numFmtId="2" fontId="18" fillId="7" borderId="42" xfId="0" applyNumberFormat="1" applyFont="1" applyFill="1" applyBorder="1" applyAlignment="1">
      <alignment horizontal="center" vertical="center" wrapText="1"/>
    </xf>
    <xf numFmtId="2" fontId="18" fillId="7" borderId="31" xfId="0" applyNumberFormat="1" applyFont="1" applyFill="1" applyBorder="1" applyAlignment="1">
      <alignment horizontal="center" vertical="center" wrapText="1"/>
    </xf>
    <xf numFmtId="2" fontId="18" fillId="7" borderId="45" xfId="0" applyNumberFormat="1" applyFont="1" applyFill="1" applyBorder="1" applyAlignment="1">
      <alignment horizontal="center" vertical="center" wrapText="1"/>
    </xf>
    <xf numFmtId="2" fontId="18" fillId="7" borderId="69" xfId="0" applyNumberFormat="1" applyFont="1" applyFill="1" applyBorder="1" applyAlignment="1">
      <alignment horizontal="center" vertical="center" wrapText="1"/>
    </xf>
    <xf numFmtId="49" fontId="18" fillId="7" borderId="48" xfId="0" applyNumberFormat="1" applyFont="1" applyFill="1" applyBorder="1" applyAlignment="1">
      <alignment horizontal="center" vertical="center" wrapText="1"/>
    </xf>
    <xf numFmtId="0" fontId="18" fillId="7" borderId="0" xfId="7" applyFont="1" applyFill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18" fillId="7" borderId="48" xfId="0" applyFont="1" applyFill="1" applyBorder="1" applyAlignment="1">
      <alignment horizontal="center" vertical="center" wrapText="1"/>
    </xf>
    <xf numFmtId="49" fontId="18" fillId="0" borderId="51" xfId="0" applyNumberFormat="1" applyFont="1" applyBorder="1" applyAlignment="1">
      <alignment horizontal="center" vertical="center" wrapText="1"/>
    </xf>
    <xf numFmtId="49" fontId="18" fillId="0" borderId="14" xfId="0" applyNumberFormat="1" applyFont="1" applyBorder="1" applyAlignment="1">
      <alignment horizontal="center" vertical="center" wrapText="1"/>
    </xf>
    <xf numFmtId="49" fontId="18" fillId="0" borderId="5" xfId="0" applyNumberFormat="1" applyFont="1" applyBorder="1" applyAlignment="1">
      <alignment horizontal="center" vertical="center" wrapText="1"/>
    </xf>
    <xf numFmtId="0" fontId="18" fillId="4" borderId="51" xfId="0" applyFont="1" applyFill="1" applyBorder="1" applyAlignment="1">
      <alignment horizontal="center" vertical="center" wrapText="1"/>
    </xf>
    <xf numFmtId="0" fontId="18" fillId="4" borderId="14" xfId="0" applyFont="1" applyFill="1" applyBorder="1" applyAlignment="1">
      <alignment horizontal="center" vertical="center" wrapText="1"/>
    </xf>
    <xf numFmtId="0" fontId="18" fillId="4" borderId="5" xfId="0" applyFont="1" applyFill="1" applyBorder="1" applyAlignment="1">
      <alignment horizontal="center" vertical="center" wrapText="1"/>
    </xf>
    <xf numFmtId="49" fontId="18" fillId="20" borderId="42" xfId="0" applyNumberFormat="1" applyFont="1" applyFill="1" applyBorder="1" applyAlignment="1">
      <alignment horizontal="center" vertical="center" wrapText="1"/>
    </xf>
    <xf numFmtId="49" fontId="18" fillId="20" borderId="3" xfId="0" applyNumberFormat="1" applyFont="1" applyFill="1" applyBorder="1" applyAlignment="1">
      <alignment horizontal="center" vertical="center" wrapText="1"/>
    </xf>
    <xf numFmtId="0" fontId="18" fillId="20" borderId="42" xfId="0" applyFont="1" applyFill="1" applyBorder="1" applyAlignment="1">
      <alignment horizontal="center" vertical="center" wrapText="1"/>
    </xf>
    <xf numFmtId="0" fontId="18" fillId="20" borderId="3" xfId="0" applyFont="1" applyFill="1" applyBorder="1" applyAlignment="1">
      <alignment horizontal="center" vertical="center" wrapText="1"/>
    </xf>
    <xf numFmtId="0" fontId="18" fillId="20" borderId="42" xfId="0" applyFont="1" applyFill="1" applyBorder="1" applyAlignment="1">
      <alignment horizontal="left" vertical="center" wrapText="1"/>
    </xf>
    <xf numFmtId="0" fontId="18" fillId="20" borderId="3" xfId="0" applyFont="1" applyFill="1" applyBorder="1" applyAlignment="1">
      <alignment horizontal="left" vertical="center" wrapText="1"/>
    </xf>
    <xf numFmtId="168" fontId="18" fillId="20" borderId="42" xfId="0" applyNumberFormat="1" applyFont="1" applyFill="1" applyBorder="1" applyAlignment="1">
      <alignment horizontal="center" vertical="center" wrapText="1"/>
    </xf>
    <xf numFmtId="168" fontId="18" fillId="20" borderId="3" xfId="0" applyNumberFormat="1" applyFont="1" applyFill="1" applyBorder="1" applyAlignment="1">
      <alignment horizontal="center" vertical="center" wrapText="1"/>
    </xf>
    <xf numFmtId="49" fontId="18" fillId="4" borderId="51" xfId="0" applyNumberFormat="1" applyFont="1" applyFill="1" applyBorder="1" applyAlignment="1">
      <alignment horizontal="center" vertical="center" wrapText="1"/>
    </xf>
    <xf numFmtId="49" fontId="18" fillId="4" borderId="14" xfId="0" applyNumberFormat="1" applyFont="1" applyFill="1" applyBorder="1" applyAlignment="1">
      <alignment horizontal="center" vertical="center" wrapText="1"/>
    </xf>
    <xf numFmtId="49" fontId="18" fillId="4" borderId="5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18" fillId="0" borderId="0" xfId="0" applyFont="1" applyAlignment="1">
      <alignment horizontal="left" wrapText="1"/>
    </xf>
    <xf numFmtId="0" fontId="28" fillId="4" borderId="0" xfId="0" applyFont="1" applyFill="1" applyAlignment="1">
      <alignment horizontal="center" wrapText="1"/>
    </xf>
    <xf numFmtId="0" fontId="19" fillId="4" borderId="1" xfId="0" applyFont="1" applyFill="1" applyBorder="1" applyAlignment="1">
      <alignment horizontal="center" vertical="center" wrapText="1"/>
    </xf>
    <xf numFmtId="49" fontId="18" fillId="4" borderId="1" xfId="0" applyNumberFormat="1" applyFont="1" applyFill="1" applyBorder="1" applyAlignment="1">
      <alignment horizontal="center" vertical="center" wrapText="1"/>
    </xf>
    <xf numFmtId="0" fontId="18" fillId="4" borderId="1" xfId="7" applyFont="1" applyFill="1" applyBorder="1" applyAlignment="1">
      <alignment vertical="center" wrapText="1"/>
    </xf>
    <xf numFmtId="0" fontId="18" fillId="4" borderId="0" xfId="0" applyFont="1" applyFill="1" applyAlignment="1">
      <alignment horizontal="center" wrapText="1"/>
    </xf>
    <xf numFmtId="0" fontId="18" fillId="4" borderId="42" xfId="7" applyFont="1" applyFill="1" applyBorder="1" applyAlignment="1">
      <alignment vertical="center" wrapText="1"/>
    </xf>
    <xf numFmtId="0" fontId="18" fillId="4" borderId="4" xfId="7" applyFont="1" applyFill="1" applyBorder="1" applyAlignment="1">
      <alignment vertical="center" wrapText="1"/>
    </xf>
    <xf numFmtId="0" fontId="18" fillId="4" borderId="42" xfId="7" applyFont="1" applyFill="1" applyBorder="1" applyAlignment="1">
      <alignment horizontal="center" vertical="center" wrapText="1"/>
    </xf>
    <xf numFmtId="0" fontId="18" fillId="4" borderId="4" xfId="7" applyFont="1" applyFill="1" applyBorder="1" applyAlignment="1">
      <alignment horizontal="center" vertical="center" wrapText="1"/>
    </xf>
    <xf numFmtId="49" fontId="18" fillId="4" borderId="42" xfId="0" applyNumberFormat="1" applyFont="1" applyFill="1" applyBorder="1" applyAlignment="1">
      <alignment horizontal="center" vertical="center" wrapText="1"/>
    </xf>
    <xf numFmtId="49" fontId="18" fillId="4" borderId="4" xfId="0" applyNumberFormat="1" applyFont="1" applyFill="1" applyBorder="1" applyAlignment="1">
      <alignment horizontal="center" vertical="center" wrapText="1"/>
    </xf>
    <xf numFmtId="49" fontId="18" fillId="0" borderId="0" xfId="0" applyNumberFormat="1" applyFont="1" applyAlignment="1">
      <alignment horizontal="center" vertical="center" wrapText="1"/>
    </xf>
    <xf numFmtId="0" fontId="18" fillId="4" borderId="1" xfId="7" applyFont="1" applyFill="1" applyBorder="1" applyAlignment="1">
      <alignment horizontal="center" vertical="center" wrapText="1"/>
    </xf>
    <xf numFmtId="0" fontId="18" fillId="4" borderId="3" xfId="7" applyFont="1" applyFill="1" applyBorder="1" applyAlignment="1">
      <alignment horizontal="center" vertical="center" wrapText="1"/>
    </xf>
    <xf numFmtId="49" fontId="18" fillId="4" borderId="3" xfId="0" applyNumberFormat="1" applyFont="1" applyFill="1" applyBorder="1" applyAlignment="1">
      <alignment horizontal="center" vertical="center" wrapText="1"/>
    </xf>
    <xf numFmtId="0" fontId="6" fillId="4" borderId="0" xfId="0" applyFont="1" applyFill="1" applyAlignment="1">
      <alignment wrapText="1"/>
    </xf>
    <xf numFmtId="0" fontId="18" fillId="4" borderId="0" xfId="7" applyFont="1" applyFill="1" applyAlignment="1">
      <alignment vertical="center" wrapText="1"/>
    </xf>
    <xf numFmtId="49" fontId="19" fillId="19" borderId="42" xfId="0" applyNumberFormat="1" applyFont="1" applyFill="1" applyBorder="1" applyAlignment="1">
      <alignment horizontal="center" vertical="center" wrapText="1"/>
    </xf>
    <xf numFmtId="49" fontId="19" fillId="19" borderId="3" xfId="0" applyNumberFormat="1" applyFont="1" applyFill="1" applyBorder="1" applyAlignment="1">
      <alignment horizontal="center" vertical="center" wrapText="1"/>
    </xf>
    <xf numFmtId="0" fontId="19" fillId="19" borderId="42" xfId="7" applyFont="1" applyFill="1" applyBorder="1" applyAlignment="1">
      <alignment horizontal="center" vertical="center" wrapText="1"/>
    </xf>
    <xf numFmtId="0" fontId="19" fillId="19" borderId="3" xfId="7" applyFont="1" applyFill="1" applyBorder="1" applyAlignment="1">
      <alignment horizontal="center" vertical="center" wrapText="1"/>
    </xf>
    <xf numFmtId="0" fontId="19" fillId="19" borderId="42" xfId="0" applyFont="1" applyFill="1" applyBorder="1" applyAlignment="1">
      <alignment horizontal="center" vertical="center" wrapText="1"/>
    </xf>
    <xf numFmtId="0" fontId="19" fillId="19" borderId="3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wrapText="1"/>
    </xf>
    <xf numFmtId="0" fontId="18" fillId="4" borderId="0" xfId="7" applyFont="1" applyFill="1" applyAlignment="1">
      <alignment horizontal="left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8" fontId="18" fillId="4" borderId="42" xfId="0" applyNumberFormat="1" applyFont="1" applyFill="1" applyBorder="1" applyAlignment="1">
      <alignment horizontal="center" vertical="center" wrapText="1"/>
    </xf>
    <xf numFmtId="168" fontId="18" fillId="4" borderId="3" xfId="0" applyNumberFormat="1" applyFont="1" applyFill="1" applyBorder="1" applyAlignment="1">
      <alignment horizontal="center" vertical="center" wrapText="1"/>
    </xf>
    <xf numFmtId="0" fontId="19" fillId="13" borderId="51" xfId="0" applyFont="1" applyFill="1" applyBorder="1" applyAlignment="1">
      <alignment horizontal="center" vertical="center" wrapText="1"/>
    </xf>
    <xf numFmtId="0" fontId="19" fillId="13" borderId="14" xfId="0" applyFont="1" applyFill="1" applyBorder="1" applyAlignment="1">
      <alignment horizontal="center" vertical="center" wrapText="1"/>
    </xf>
    <xf numFmtId="0" fontId="19" fillId="13" borderId="5" xfId="0" applyFont="1" applyFill="1" applyBorder="1" applyAlignment="1">
      <alignment horizontal="center" vertical="center" wrapText="1"/>
    </xf>
    <xf numFmtId="49" fontId="18" fillId="0" borderId="42" xfId="0" applyNumberFormat="1" applyFont="1" applyBorder="1" applyAlignment="1">
      <alignment horizontal="center" vertical="center" wrapText="1"/>
    </xf>
    <xf numFmtId="49" fontId="18" fillId="0" borderId="3" xfId="0" applyNumberFormat="1" applyFont="1" applyBorder="1" applyAlignment="1">
      <alignment horizontal="center" vertical="center" wrapText="1"/>
    </xf>
    <xf numFmtId="168" fontId="19" fillId="19" borderId="42" xfId="0" applyNumberFormat="1" applyFont="1" applyFill="1" applyBorder="1" applyAlignment="1">
      <alignment horizontal="center" vertical="center" wrapText="1"/>
    </xf>
    <xf numFmtId="168" fontId="19" fillId="19" borderId="3" xfId="0" applyNumberFormat="1" applyFont="1" applyFill="1" applyBorder="1" applyAlignment="1">
      <alignment horizontal="center" vertical="center" wrapText="1"/>
    </xf>
    <xf numFmtId="0" fontId="18" fillId="4" borderId="42" xfId="0" applyFont="1" applyFill="1" applyBorder="1" applyAlignment="1">
      <alignment horizontal="center" vertical="center" wrapText="1"/>
    </xf>
    <xf numFmtId="0" fontId="18" fillId="4" borderId="3" xfId="0" applyFont="1" applyFill="1" applyBorder="1" applyAlignment="1">
      <alignment horizontal="center" vertical="center" wrapText="1"/>
    </xf>
    <xf numFmtId="49" fontId="18" fillId="0" borderId="4" xfId="0" applyNumberFormat="1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0" fontId="18" fillId="4" borderId="4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left" vertical="center" wrapText="1"/>
    </xf>
    <xf numFmtId="0" fontId="19" fillId="4" borderId="51" xfId="0" applyFont="1" applyFill="1" applyBorder="1" applyAlignment="1">
      <alignment horizontal="center" vertical="center" wrapText="1"/>
    </xf>
    <xf numFmtId="0" fontId="19" fillId="4" borderId="14" xfId="0" applyFont="1" applyFill="1" applyBorder="1" applyAlignment="1">
      <alignment horizontal="center" vertical="center" wrapText="1"/>
    </xf>
    <xf numFmtId="0" fontId="19" fillId="4" borderId="5" xfId="0" applyFont="1" applyFill="1" applyBorder="1" applyAlignment="1">
      <alignment horizontal="center" vertical="center" wrapText="1"/>
    </xf>
    <xf numFmtId="168" fontId="19" fillId="19" borderId="1" xfId="0" applyNumberFormat="1" applyFont="1" applyFill="1" applyBorder="1" applyAlignment="1">
      <alignment horizontal="center" vertical="center" wrapText="1"/>
    </xf>
    <xf numFmtId="0" fontId="19" fillId="19" borderId="1" xfId="0" applyFont="1" applyFill="1" applyBorder="1" applyAlignment="1">
      <alignment horizontal="center" vertical="center" wrapText="1"/>
    </xf>
    <xf numFmtId="0" fontId="19" fillId="19" borderId="1" xfId="7" applyFont="1" applyFill="1" applyBorder="1" applyAlignment="1">
      <alignment horizontal="center" vertical="center" wrapText="1"/>
    </xf>
    <xf numFmtId="49" fontId="19" fillId="19" borderId="1" xfId="0" applyNumberFormat="1" applyFont="1" applyFill="1" applyBorder="1" applyAlignment="1">
      <alignment horizontal="center" vertical="center" wrapText="1"/>
    </xf>
    <xf numFmtId="2" fontId="6" fillId="4" borderId="0" xfId="0" applyNumberFormat="1" applyFont="1" applyFill="1" applyAlignment="1">
      <alignment horizontal="center" wrapText="1"/>
    </xf>
    <xf numFmtId="0" fontId="6" fillId="4" borderId="32" xfId="0" applyFont="1" applyFill="1" applyBorder="1" applyAlignment="1">
      <alignment horizontal="left" wrapText="1"/>
    </xf>
    <xf numFmtId="0" fontId="6" fillId="4" borderId="0" xfId="0" applyFont="1" applyFill="1" applyAlignment="1">
      <alignment horizontal="left" wrapText="1"/>
    </xf>
    <xf numFmtId="2" fontId="6" fillId="0" borderId="0" xfId="0" applyNumberFormat="1" applyFont="1" applyAlignment="1">
      <alignment horizontal="center" wrapText="1"/>
    </xf>
    <xf numFmtId="1" fontId="18" fillId="4" borderId="47" xfId="0" applyNumberFormat="1" applyFont="1" applyFill="1" applyBorder="1" applyAlignment="1">
      <alignment horizontal="center" vertical="center" wrapText="1"/>
    </xf>
    <xf numFmtId="1" fontId="18" fillId="4" borderId="35" xfId="0" applyNumberFormat="1" applyFont="1" applyFill="1" applyBorder="1" applyAlignment="1">
      <alignment horizontal="center" vertical="center" wrapText="1"/>
    </xf>
    <xf numFmtId="1" fontId="18" fillId="4" borderId="48" xfId="0" applyNumberFormat="1" applyFont="1" applyFill="1" applyBorder="1" applyAlignment="1">
      <alignment horizontal="center" vertical="center" wrapText="1"/>
    </xf>
    <xf numFmtId="1" fontId="18" fillId="4" borderId="43" xfId="0" applyNumberFormat="1" applyFont="1" applyFill="1" applyBorder="1" applyAlignment="1">
      <alignment horizontal="center" vertical="center" wrapText="1"/>
    </xf>
    <xf numFmtId="2" fontId="5" fillId="0" borderId="78" xfId="0" applyNumberFormat="1" applyFont="1" applyBorder="1" applyAlignment="1">
      <alignment horizontal="center" vertical="center" wrapText="1"/>
    </xf>
    <xf numFmtId="2" fontId="5" fillId="0" borderId="32" xfId="0" applyNumberFormat="1" applyFont="1" applyBorder="1" applyAlignment="1">
      <alignment horizontal="center" vertical="center" wrapText="1"/>
    </xf>
    <xf numFmtId="2" fontId="5" fillId="0" borderId="66" xfId="0" applyNumberFormat="1" applyFont="1" applyBorder="1" applyAlignment="1">
      <alignment horizontal="center" vertical="center" wrapText="1"/>
    </xf>
    <xf numFmtId="2" fontId="5" fillId="0" borderId="71" xfId="0" applyNumberFormat="1" applyFont="1" applyBorder="1" applyAlignment="1">
      <alignment horizontal="center" vertical="center" wrapText="1"/>
    </xf>
    <xf numFmtId="2" fontId="5" fillId="0" borderId="0" xfId="0" applyNumberFormat="1" applyFont="1" applyAlignment="1">
      <alignment horizontal="center" vertical="center" wrapText="1"/>
    </xf>
    <xf numFmtId="2" fontId="5" fillId="0" borderId="79" xfId="0" applyNumberFormat="1" applyFont="1" applyBorder="1" applyAlignment="1">
      <alignment horizontal="center" vertical="center" wrapText="1"/>
    </xf>
    <xf numFmtId="2" fontId="5" fillId="0" borderId="57" xfId="0" applyNumberFormat="1" applyFont="1" applyBorder="1" applyAlignment="1">
      <alignment horizontal="center" vertical="center" wrapText="1"/>
    </xf>
    <xf numFmtId="2" fontId="5" fillId="0" borderId="44" xfId="0" applyNumberFormat="1" applyFont="1" applyBorder="1" applyAlignment="1">
      <alignment horizontal="center" vertical="center" wrapText="1"/>
    </xf>
    <xf numFmtId="2" fontId="5" fillId="0" borderId="59" xfId="0" applyNumberFormat="1" applyFont="1" applyBorder="1" applyAlignment="1">
      <alignment horizontal="center" vertical="center" wrapText="1"/>
    </xf>
  </cellXfs>
  <cellStyles count="9">
    <cellStyle name="Обычный" xfId="0" builtinId="0"/>
    <cellStyle name="Обычный 2" xfId="1" xr:uid="{00000000-0005-0000-0000-000001000000}"/>
    <cellStyle name="Обычный 3" xfId="2" xr:uid="{00000000-0005-0000-0000-000002000000}"/>
    <cellStyle name="Обычный 4" xfId="3" xr:uid="{00000000-0005-0000-0000-000003000000}"/>
    <cellStyle name="Обычный 5" xfId="4" xr:uid="{00000000-0005-0000-0000-000004000000}"/>
    <cellStyle name="Обычный 6" xfId="5" xr:uid="{00000000-0005-0000-0000-000005000000}"/>
    <cellStyle name="Обычный 6 2" xfId="6" xr:uid="{00000000-0005-0000-0000-000006000000}"/>
    <cellStyle name="Обычный 7" xfId="7" xr:uid="{00000000-0005-0000-0000-000007000000}"/>
    <cellStyle name="Финансовый 2" xfId="8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95249</xdr:colOff>
      <xdr:row>94</xdr:row>
      <xdr:rowOff>66675</xdr:rowOff>
    </xdr:from>
    <xdr:to>
      <xdr:col>11</xdr:col>
      <xdr:colOff>85724</xdr:colOff>
      <xdr:row>99</xdr:row>
      <xdr:rowOff>95250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 txBox="1"/>
      </xdr:nvSpPr>
      <xdr:spPr>
        <a:xfrm>
          <a:off x="238124" y="22793325"/>
          <a:ext cx="9667875" cy="10287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ru-RU" sz="1000" b="0" i="0" u="none" strike="noStrike" kern="0" cap="none" spc="0" normalizeH="0" baseline="3000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*)</a:t>
          </a:r>
          <a:r>
            <a:rPr kumimoji="0" lang="en-U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 </a:t>
          </a:r>
          <a:r>
            <a:rPr kumimoji="0" lang="ru-RU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Примечание: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ru-RU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мероприятия по строительству объектов адресной инвестиционной программы  (В 2026 году</a:t>
          </a:r>
          <a:r>
            <a:rPr kumimoji="0" lang="en-U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: </a:t>
          </a:r>
          <a:r>
            <a:rPr kumimoji="0" lang="ru-RU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Строительство физкультурно-оздоровительного комплекса по ул.Железнодорожной в г.Калининграде, Строительство Центра прогресса бокса по ул. Железнодорожной в г. Калининграде) будут исполнены при наличии софинансирования</a:t>
          </a:r>
          <a:r>
            <a:rPr kumimoji="0" lang="en-U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 </a:t>
          </a:r>
          <a:r>
            <a:rPr kumimoji="0" lang="ru-RU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за счет средств вышестоящих бюджетов</a:t>
          </a:r>
          <a:r>
            <a:rPr kumimoji="0" lang="en-U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.</a:t>
          </a:r>
          <a:endParaRPr kumimoji="0" lang="ru-RU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Times New Roman" pitchFamily="18" charset="0"/>
            <a:ea typeface="+mn-ea"/>
            <a:cs typeface="Times New Roman" pitchFamily="18" charset="0"/>
          </a:endParaRPr>
        </a:p>
        <a:p>
          <a:pPr lvl="0"/>
          <a:endParaRPr lang="ru-RU" sz="1000">
            <a:latin typeface="Times New Roman" pitchFamily="18" charset="0"/>
            <a:cs typeface="Times New Roman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  <pageSetUpPr fitToPage="1"/>
  </sheetPr>
  <dimension ref="A1:G18"/>
  <sheetViews>
    <sheetView workbookViewId="0">
      <selection activeCell="C15" sqref="C15"/>
    </sheetView>
  </sheetViews>
  <sheetFormatPr defaultRowHeight="12.75" x14ac:dyDescent="0.2"/>
  <cols>
    <col min="1" max="1" width="45.5703125" customWidth="1"/>
    <col min="2" max="2" width="9.28515625" customWidth="1"/>
    <col min="3" max="3" width="12" customWidth="1"/>
    <col min="4" max="4" width="14.7109375" customWidth="1"/>
    <col min="5" max="5" width="11.28515625" customWidth="1"/>
    <col min="6" max="6" width="13.7109375" customWidth="1"/>
    <col min="7" max="7" width="11.7109375" bestFit="1" customWidth="1"/>
  </cols>
  <sheetData>
    <row r="1" spans="1:7" ht="15.75" x14ac:dyDescent="0.2">
      <c r="A1" s="38" t="s">
        <v>103</v>
      </c>
      <c r="B1" s="38"/>
      <c r="C1" s="44"/>
      <c r="D1" s="44"/>
      <c r="E1" s="44"/>
      <c r="F1" s="44"/>
    </row>
    <row r="2" spans="1:7" ht="15" x14ac:dyDescent="0.2">
      <c r="A2" s="45"/>
      <c r="B2" s="45"/>
      <c r="C2" s="45"/>
      <c r="D2" s="45"/>
      <c r="E2" s="45"/>
      <c r="F2" s="45"/>
    </row>
    <row r="3" spans="1:7" ht="45.75" customHeight="1" x14ac:dyDescent="0.2">
      <c r="A3" s="46" t="s">
        <v>94</v>
      </c>
      <c r="B3" s="918" t="s">
        <v>210</v>
      </c>
      <c r="C3" s="918"/>
      <c r="D3" s="918"/>
      <c r="E3" s="918"/>
      <c r="F3" s="918"/>
    </row>
    <row r="4" spans="1:7" ht="31.5" x14ac:dyDescent="0.2">
      <c r="A4" s="46" t="s">
        <v>95</v>
      </c>
      <c r="B4" s="918" t="s">
        <v>673</v>
      </c>
      <c r="C4" s="918"/>
      <c r="D4" s="918"/>
      <c r="E4" s="918"/>
      <c r="F4" s="918"/>
    </row>
    <row r="5" spans="1:7" ht="15.75" x14ac:dyDescent="0.2">
      <c r="A5" s="46" t="s">
        <v>96</v>
      </c>
      <c r="B5" s="935" t="s">
        <v>729</v>
      </c>
      <c r="C5" s="935"/>
      <c r="D5" s="935"/>
      <c r="E5" s="935"/>
      <c r="F5" s="935"/>
    </row>
    <row r="6" spans="1:7" ht="31.5" x14ac:dyDescent="0.2">
      <c r="A6" s="46" t="s">
        <v>97</v>
      </c>
      <c r="B6" s="918" t="s">
        <v>211</v>
      </c>
      <c r="C6" s="918"/>
      <c r="D6" s="918"/>
      <c r="E6" s="918"/>
      <c r="F6" s="918"/>
    </row>
    <row r="7" spans="1:7" ht="84" customHeight="1" x14ac:dyDescent="0.2">
      <c r="A7" s="46" t="s">
        <v>98</v>
      </c>
      <c r="B7" s="918" t="s">
        <v>730</v>
      </c>
      <c r="C7" s="918"/>
      <c r="D7" s="918"/>
      <c r="E7" s="918"/>
      <c r="F7" s="918"/>
    </row>
    <row r="8" spans="1:7" ht="51" customHeight="1" x14ac:dyDescent="0.2">
      <c r="A8" s="46" t="s">
        <v>99</v>
      </c>
      <c r="B8" s="918" t="s">
        <v>247</v>
      </c>
      <c r="C8" s="918"/>
      <c r="D8" s="918"/>
      <c r="E8" s="918"/>
      <c r="F8" s="918"/>
    </row>
    <row r="9" spans="1:7" ht="111" customHeight="1" x14ac:dyDescent="0.2">
      <c r="A9" s="46" t="s">
        <v>100</v>
      </c>
      <c r="B9" s="918" t="s">
        <v>248</v>
      </c>
      <c r="C9" s="918"/>
      <c r="D9" s="918"/>
      <c r="E9" s="918"/>
      <c r="F9" s="918"/>
    </row>
    <row r="10" spans="1:7" ht="38.25" customHeight="1" x14ac:dyDescent="0.2">
      <c r="A10" s="919" t="s">
        <v>101</v>
      </c>
      <c r="B10" s="922" t="s">
        <v>728</v>
      </c>
      <c r="C10" s="923"/>
      <c r="D10" s="923"/>
      <c r="E10" s="923"/>
      <c r="F10" s="924"/>
    </row>
    <row r="11" spans="1:7" ht="63.75" x14ac:dyDescent="0.2">
      <c r="A11" s="920"/>
      <c r="B11" s="2" t="s">
        <v>130</v>
      </c>
      <c r="C11" s="2" t="s">
        <v>134</v>
      </c>
      <c r="D11" s="2" t="s">
        <v>133</v>
      </c>
      <c r="E11" s="2" t="s">
        <v>135</v>
      </c>
      <c r="F11" s="2" t="s">
        <v>136</v>
      </c>
    </row>
    <row r="12" spans="1:7" ht="15.75" x14ac:dyDescent="0.2">
      <c r="A12" s="921"/>
      <c r="B12" s="25">
        <v>2021</v>
      </c>
      <c r="C12" s="110">
        <f>'2021_Приложение 4 Деньги'!E17</f>
        <v>31989.476999999999</v>
      </c>
      <c r="D12" s="110">
        <f>'2021_Приложение 4 Деньги'!E18</f>
        <v>623267.86800000002</v>
      </c>
      <c r="E12" s="43">
        <v>0</v>
      </c>
      <c r="F12" s="110">
        <f>'2021_Приложение 4 Деньги'!E16</f>
        <v>655257.34499999997</v>
      </c>
    </row>
    <row r="13" spans="1:7" ht="15.75" x14ac:dyDescent="0.2">
      <c r="A13" s="921"/>
      <c r="B13" s="25">
        <v>2022</v>
      </c>
      <c r="C13" s="110">
        <f>'2021_Приложение 4 Деньги'!F17</f>
        <v>4375</v>
      </c>
      <c r="D13" s="110">
        <f>'2021_Приложение 4 Деньги'!F18</f>
        <v>503171.636</v>
      </c>
      <c r="E13" s="43">
        <v>0</v>
      </c>
      <c r="F13" s="110">
        <f>'2021_Приложение 4 Деньги'!F16</f>
        <v>507546.636</v>
      </c>
    </row>
    <row r="14" spans="1:7" ht="15.75" x14ac:dyDescent="0.2">
      <c r="A14" s="921"/>
      <c r="B14" s="25">
        <v>2023</v>
      </c>
      <c r="C14" s="110">
        <f>'2021_Приложение 4 Деньги'!G17</f>
        <v>4375</v>
      </c>
      <c r="D14" s="110">
        <f>'2021_Приложение 4 Деньги'!G18</f>
        <v>424886.66499999998</v>
      </c>
      <c r="E14" s="43">
        <v>0</v>
      </c>
      <c r="F14" s="110">
        <f>'2021_Приложение 4 Деньги'!G16</f>
        <v>429261.66499999998</v>
      </c>
    </row>
    <row r="15" spans="1:7" ht="15.75" x14ac:dyDescent="0.2">
      <c r="A15" s="921"/>
      <c r="B15" s="25" t="s">
        <v>131</v>
      </c>
      <c r="C15" s="110">
        <f>SUM(C12:C14)</f>
        <v>40739.476999999999</v>
      </c>
      <c r="D15" s="110">
        <f>SUM(D12:D14)</f>
        <v>1551326.169</v>
      </c>
      <c r="E15" s="43">
        <f>SUM(E12:E14)</f>
        <v>0</v>
      </c>
      <c r="F15" s="110">
        <f>SUM(F12:F14)</f>
        <v>1592065.6459999999</v>
      </c>
    </row>
    <row r="16" spans="1:7" ht="56.25" customHeight="1" thickBot="1" x14ac:dyDescent="0.25">
      <c r="A16" s="921"/>
      <c r="B16" s="925" t="s">
        <v>229</v>
      </c>
      <c r="C16" s="926"/>
      <c r="D16" s="926"/>
      <c r="E16" s="926"/>
      <c r="F16" s="927"/>
      <c r="G16" s="47"/>
    </row>
    <row r="17" spans="1:6" ht="409.5" customHeight="1" x14ac:dyDescent="0.2">
      <c r="A17" s="928" t="s">
        <v>102</v>
      </c>
      <c r="B17" s="928" t="s">
        <v>674</v>
      </c>
      <c r="C17" s="930"/>
      <c r="D17" s="930"/>
      <c r="E17" s="930"/>
      <c r="F17" s="931"/>
    </row>
    <row r="18" spans="1:6" ht="83.25" customHeight="1" thickBot="1" x14ac:dyDescent="0.25">
      <c r="A18" s="929"/>
      <c r="B18" s="932"/>
      <c r="C18" s="933"/>
      <c r="D18" s="933"/>
      <c r="E18" s="933"/>
      <c r="F18" s="934"/>
    </row>
  </sheetData>
  <mergeCells count="12">
    <mergeCell ref="B8:F8"/>
    <mergeCell ref="B3:F3"/>
    <mergeCell ref="B4:F4"/>
    <mergeCell ref="B5:F5"/>
    <mergeCell ref="B6:F6"/>
    <mergeCell ref="B7:F7"/>
    <mergeCell ref="B9:F9"/>
    <mergeCell ref="A10:A16"/>
    <mergeCell ref="B10:F10"/>
    <mergeCell ref="B16:F16"/>
    <mergeCell ref="A17:A18"/>
    <mergeCell ref="B17:F18"/>
  </mergeCells>
  <pageMargins left="1.1811023622047245" right="0.59055118110236227" top="0.78740157480314965" bottom="0.78740157480314965" header="0.31496062992125984" footer="0.31496062992125984"/>
  <pageSetup paperSize="9" scale="6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 tint="-0.249977111117893"/>
    <pageSetUpPr fitToPage="1"/>
  </sheetPr>
  <dimension ref="B1:X286"/>
  <sheetViews>
    <sheetView showWhiteSpace="0" topLeftCell="A11" zoomScale="75" zoomScaleNormal="75" workbookViewId="0">
      <pane ySplit="1170" topLeftCell="A172" activePane="bottomLeft"/>
      <selection activeCell="Q11" sqref="Q1:Q65536"/>
      <selection pane="bottomLeft" activeCell="J143" sqref="J143"/>
    </sheetView>
  </sheetViews>
  <sheetFormatPr defaultColWidth="8.85546875" defaultRowHeight="15.75" x14ac:dyDescent="0.25"/>
  <cols>
    <col min="1" max="1" width="2.140625" style="37" customWidth="1"/>
    <col min="2" max="2" width="14" style="37" customWidth="1"/>
    <col min="3" max="3" width="13.140625" style="37" customWidth="1"/>
    <col min="4" max="4" width="7.85546875" style="37" customWidth="1"/>
    <col min="5" max="5" width="10.7109375" style="37" customWidth="1"/>
    <col min="6" max="6" width="17.28515625" style="37" customWidth="1"/>
    <col min="7" max="7" width="44" style="37" customWidth="1"/>
    <col min="8" max="8" width="25.140625" style="37" customWidth="1"/>
    <col min="9" max="9" width="9.5703125" style="37" customWidth="1"/>
    <col min="10" max="10" width="16.85546875" style="37" customWidth="1"/>
    <col min="11" max="11" width="14.85546875" style="37" customWidth="1"/>
    <col min="12" max="12" width="13.28515625" style="37" hidden="1" customWidth="1"/>
    <col min="13" max="13" width="14.42578125" style="37" hidden="1" customWidth="1"/>
    <col min="14" max="14" width="14.5703125" style="37" customWidth="1"/>
    <col min="15" max="15" width="12.85546875" style="37" customWidth="1"/>
    <col min="16" max="16" width="13.7109375" style="37" customWidth="1"/>
    <col min="17" max="17" width="14" style="37" hidden="1" customWidth="1"/>
    <col min="18" max="18" width="41.85546875" style="37" hidden="1" customWidth="1"/>
    <col min="19" max="19" width="12.5703125" style="37" hidden="1" customWidth="1"/>
    <col min="20" max="20" width="8.85546875" style="37" customWidth="1"/>
    <col min="21" max="21" width="14.28515625" style="37" customWidth="1"/>
    <col min="22" max="22" width="15.42578125" style="37" customWidth="1"/>
    <col min="23" max="23" width="8.85546875" style="37" customWidth="1"/>
    <col min="24" max="24" width="19.5703125" style="37" customWidth="1"/>
    <col min="25" max="16384" width="8.85546875" style="37"/>
  </cols>
  <sheetData>
    <row r="1" spans="2:24" ht="16.5" customHeight="1" x14ac:dyDescent="0.25">
      <c r="J1" s="54" t="s">
        <v>497</v>
      </c>
      <c r="N1" s="54"/>
    </row>
    <row r="2" spans="2:24" x14ac:dyDescent="0.25">
      <c r="J2" s="54" t="s">
        <v>498</v>
      </c>
      <c r="N2" s="54"/>
    </row>
    <row r="3" spans="2:24" x14ac:dyDescent="0.25">
      <c r="J3" s="54" t="s">
        <v>499</v>
      </c>
      <c r="N3" s="54"/>
    </row>
    <row r="4" spans="2:24" x14ac:dyDescent="0.25">
      <c r="J4" s="54" t="s">
        <v>500</v>
      </c>
      <c r="N4" s="54"/>
    </row>
    <row r="5" spans="2:24" x14ac:dyDescent="0.25">
      <c r="J5" s="54" t="s">
        <v>501</v>
      </c>
      <c r="N5" s="54"/>
    </row>
    <row r="6" spans="2:24" x14ac:dyDescent="0.25">
      <c r="J6" s="54" t="s">
        <v>502</v>
      </c>
      <c r="N6" s="54"/>
    </row>
    <row r="7" spans="2:24" ht="18.75" x14ac:dyDescent="0.25">
      <c r="B7" s="81" t="s">
        <v>152</v>
      </c>
      <c r="C7" s="82"/>
      <c r="D7" s="82"/>
      <c r="E7" s="82"/>
      <c r="F7" s="82"/>
      <c r="G7" s="82"/>
      <c r="H7" s="82"/>
      <c r="I7" s="82"/>
      <c r="J7" s="82"/>
      <c r="K7" s="80"/>
      <c r="L7" s="82"/>
      <c r="M7" s="82"/>
      <c r="N7" s="82"/>
      <c r="O7" s="38"/>
      <c r="P7" s="38"/>
    </row>
    <row r="8" spans="2:24" ht="37.5" x14ac:dyDescent="0.25">
      <c r="B8" s="81" t="s">
        <v>228</v>
      </c>
      <c r="C8" s="82"/>
      <c r="D8" s="82"/>
      <c r="E8" s="82"/>
      <c r="F8" s="82"/>
      <c r="G8" s="82"/>
      <c r="H8" s="82"/>
      <c r="I8" s="82"/>
      <c r="J8" s="82"/>
      <c r="K8" s="80"/>
      <c r="L8" s="82"/>
      <c r="M8" s="82"/>
      <c r="N8" s="82"/>
      <c r="O8" s="38"/>
      <c r="P8" s="38"/>
    </row>
    <row r="9" spans="2:24" ht="16.5" thickBot="1" x14ac:dyDescent="0.3"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</row>
    <row r="10" spans="2:24" ht="35.25" customHeight="1" thickBot="1" x14ac:dyDescent="0.3">
      <c r="B10" s="1034" t="s">
        <v>151</v>
      </c>
      <c r="C10" s="1040" t="s">
        <v>4</v>
      </c>
      <c r="D10" s="1034" t="s">
        <v>147</v>
      </c>
      <c r="E10" s="58" t="s">
        <v>50</v>
      </c>
      <c r="F10" s="59"/>
      <c r="G10" s="1040" t="s">
        <v>149</v>
      </c>
      <c r="H10" s="1101" t="s">
        <v>17</v>
      </c>
      <c r="I10" s="1102"/>
      <c r="J10" s="1102"/>
      <c r="K10" s="1102"/>
      <c r="L10" s="1102"/>
      <c r="M10" s="1102"/>
      <c r="N10" s="1102"/>
      <c r="O10" s="1102"/>
      <c r="P10" s="1102"/>
      <c r="Q10" s="1103"/>
    </row>
    <row r="11" spans="2:24" ht="48" thickBot="1" x14ac:dyDescent="0.3">
      <c r="B11" s="1052"/>
      <c r="C11" s="1071"/>
      <c r="D11" s="1052"/>
      <c r="E11" s="179" t="s">
        <v>51</v>
      </c>
      <c r="F11" s="179" t="s">
        <v>52</v>
      </c>
      <c r="G11" s="1071"/>
      <c r="H11" s="182" t="s">
        <v>18</v>
      </c>
      <c r="I11" s="80" t="s">
        <v>148</v>
      </c>
      <c r="J11" s="182" t="s">
        <v>150</v>
      </c>
      <c r="K11" s="72" t="s">
        <v>58</v>
      </c>
      <c r="L11" s="52">
        <v>2020</v>
      </c>
      <c r="M11" s="63" t="s">
        <v>46</v>
      </c>
      <c r="N11" s="179">
        <v>2021</v>
      </c>
      <c r="O11" s="186">
        <v>2022</v>
      </c>
      <c r="P11" s="285">
        <v>2023</v>
      </c>
      <c r="Q11" s="360">
        <v>2024</v>
      </c>
      <c r="X11" s="51"/>
    </row>
    <row r="12" spans="2:24" ht="16.5" thickBot="1" x14ac:dyDescent="0.3">
      <c r="B12" s="61">
        <v>1</v>
      </c>
      <c r="C12" s="73">
        <v>2</v>
      </c>
      <c r="D12" s="61">
        <v>3</v>
      </c>
      <c r="E12" s="74">
        <v>4</v>
      </c>
      <c r="F12" s="61">
        <v>5</v>
      </c>
      <c r="G12" s="73">
        <v>6</v>
      </c>
      <c r="H12" s="61">
        <v>7</v>
      </c>
      <c r="I12" s="73">
        <v>8</v>
      </c>
      <c r="J12" s="61">
        <v>9</v>
      </c>
      <c r="K12" s="60">
        <v>10</v>
      </c>
      <c r="L12" s="57">
        <v>11</v>
      </c>
      <c r="M12" s="64">
        <v>12</v>
      </c>
      <c r="N12" s="61">
        <v>11</v>
      </c>
      <c r="O12" s="348">
        <v>12</v>
      </c>
      <c r="P12" s="202">
        <v>13</v>
      </c>
      <c r="Q12" s="361">
        <v>14</v>
      </c>
      <c r="R12" s="301">
        <v>15</v>
      </c>
      <c r="S12" s="25">
        <v>16</v>
      </c>
    </row>
    <row r="13" spans="2:24" ht="63" hidden="1" customHeight="1" thickBot="1" x14ac:dyDescent="0.3">
      <c r="B13" s="1022" t="s">
        <v>63</v>
      </c>
      <c r="C13" s="1073" t="s">
        <v>116</v>
      </c>
      <c r="D13" s="1053" t="s">
        <v>116</v>
      </c>
      <c r="E13" s="1073" t="s">
        <v>116</v>
      </c>
      <c r="F13" s="1055" t="s">
        <v>116</v>
      </c>
      <c r="G13" s="1080" t="s">
        <v>583</v>
      </c>
      <c r="H13" s="182"/>
      <c r="I13" s="186"/>
      <c r="J13" s="83"/>
      <c r="K13" s="83"/>
      <c r="L13" s="83"/>
      <c r="M13" s="350"/>
      <c r="N13" s="180"/>
      <c r="O13" s="67"/>
      <c r="P13" s="190"/>
      <c r="Q13" s="272"/>
    </row>
    <row r="14" spans="2:24" ht="46.5" customHeight="1" x14ac:dyDescent="0.25">
      <c r="B14" s="1023"/>
      <c r="C14" s="1073"/>
      <c r="D14" s="1053"/>
      <c r="E14" s="1073"/>
      <c r="F14" s="1053"/>
      <c r="G14" s="1080"/>
      <c r="H14" s="75" t="s">
        <v>230</v>
      </c>
      <c r="I14" s="84" t="s">
        <v>240</v>
      </c>
      <c r="J14" s="192">
        <v>191</v>
      </c>
      <c r="K14" s="1050" t="s">
        <v>363</v>
      </c>
      <c r="L14" s="85"/>
      <c r="M14" s="384"/>
      <c r="N14" s="1090">
        <f>N19+N29+N35+N38+N41</f>
        <v>20068.739999999998</v>
      </c>
      <c r="O14" s="1087">
        <f>O19+O29+O35+O38+O41</f>
        <v>15423.333999999999</v>
      </c>
      <c r="P14" s="1090">
        <f>P19+P29+P35+P38+P41</f>
        <v>15423.333999999999</v>
      </c>
      <c r="Q14" s="1104">
        <f>Q19+Q29+Q35+Q38+Q41</f>
        <v>5864.74</v>
      </c>
      <c r="X14" s="51"/>
    </row>
    <row r="15" spans="2:24" ht="39" customHeight="1" x14ac:dyDescent="0.25">
      <c r="B15" s="1023"/>
      <c r="C15" s="1073"/>
      <c r="D15" s="1053"/>
      <c r="E15" s="1073"/>
      <c r="F15" s="1053"/>
      <c r="G15" s="1080"/>
      <c r="H15" s="75" t="s">
        <v>231</v>
      </c>
      <c r="I15" s="84" t="s">
        <v>241</v>
      </c>
      <c r="J15" s="193">
        <v>91000</v>
      </c>
      <c r="K15" s="1023"/>
      <c r="L15" s="65"/>
      <c r="M15" s="68"/>
      <c r="N15" s="1091"/>
      <c r="O15" s="1088"/>
      <c r="P15" s="1091"/>
      <c r="Q15" s="1105"/>
      <c r="X15" s="51"/>
    </row>
    <row r="16" spans="2:24" ht="37.5" customHeight="1" x14ac:dyDescent="0.25">
      <c r="B16" s="1023"/>
      <c r="C16" s="1073"/>
      <c r="D16" s="1053"/>
      <c r="E16" s="1073"/>
      <c r="F16" s="1053"/>
      <c r="G16" s="1080"/>
      <c r="H16" s="75" t="s">
        <v>187</v>
      </c>
      <c r="I16" s="84" t="s">
        <v>241</v>
      </c>
      <c r="J16" s="193">
        <v>55</v>
      </c>
      <c r="K16" s="1023"/>
      <c r="L16" s="65"/>
      <c r="M16" s="68"/>
      <c r="N16" s="1091"/>
      <c r="O16" s="1088"/>
      <c r="P16" s="1091"/>
      <c r="Q16" s="1105"/>
    </row>
    <row r="17" spans="2:24" ht="33" customHeight="1" x14ac:dyDescent="0.25">
      <c r="B17" s="1023"/>
      <c r="C17" s="1073"/>
      <c r="D17" s="1053"/>
      <c r="E17" s="1073"/>
      <c r="F17" s="1053"/>
      <c r="G17" s="1080"/>
      <c r="H17" s="75" t="s">
        <v>232</v>
      </c>
      <c r="I17" s="84" t="s">
        <v>240</v>
      </c>
      <c r="J17" s="193">
        <v>50</v>
      </c>
      <c r="K17" s="1023"/>
      <c r="L17" s="65"/>
      <c r="M17" s="68"/>
      <c r="N17" s="1091"/>
      <c r="O17" s="1088"/>
      <c r="P17" s="1091"/>
      <c r="Q17" s="1105"/>
      <c r="X17" s="51"/>
    </row>
    <row r="18" spans="2:24" ht="86.25" customHeight="1" x14ac:dyDescent="0.25">
      <c r="B18" s="1051"/>
      <c r="C18" s="1072"/>
      <c r="D18" s="1054"/>
      <c r="E18" s="1072"/>
      <c r="F18" s="1054"/>
      <c r="G18" s="1081"/>
      <c r="H18" s="75" t="s">
        <v>254</v>
      </c>
      <c r="I18" s="84" t="s">
        <v>240</v>
      </c>
      <c r="J18" s="193">
        <v>1</v>
      </c>
      <c r="K18" s="1051"/>
      <c r="L18" s="65"/>
      <c r="M18" s="68"/>
      <c r="N18" s="1092"/>
      <c r="O18" s="1089"/>
      <c r="P18" s="1092"/>
      <c r="Q18" s="1106"/>
    </row>
    <row r="19" spans="2:24" ht="67.5" customHeight="1" x14ac:dyDescent="0.25">
      <c r="B19" s="62" t="s">
        <v>63</v>
      </c>
      <c r="C19" s="67">
        <v>40404</v>
      </c>
      <c r="D19" s="194" t="s">
        <v>116</v>
      </c>
      <c r="E19" s="67" t="s">
        <v>116</v>
      </c>
      <c r="F19" s="194" t="s">
        <v>116</v>
      </c>
      <c r="G19" s="69" t="s">
        <v>585</v>
      </c>
      <c r="H19" s="75" t="s">
        <v>230</v>
      </c>
      <c r="I19" s="191" t="s">
        <v>240</v>
      </c>
      <c r="J19" s="193" t="s">
        <v>387</v>
      </c>
      <c r="K19" s="62" t="s">
        <v>363</v>
      </c>
      <c r="L19" s="62" t="s">
        <v>462</v>
      </c>
      <c r="M19" s="193" t="s">
        <v>528</v>
      </c>
      <c r="N19" s="317">
        <f>N20+N21+N22+N23+N24+N25+N26+N27+N28</f>
        <v>2908.8589999999999</v>
      </c>
      <c r="O19" s="349">
        <f>O20+O21+O22+O23+O24+O25+O26+O27+O28</f>
        <v>3909.7400000000002</v>
      </c>
      <c r="P19" s="317">
        <f>P20+P21+P22+P23+P24+P25+P26+P27+P28</f>
        <v>3909.7400000000002</v>
      </c>
      <c r="Q19" s="316">
        <f>Q20+Q21+Q22+Q23+Q24+Q25+Q26+Q27+Q28</f>
        <v>3909.7400000000002</v>
      </c>
      <c r="R19" s="51"/>
      <c r="S19" s="149"/>
      <c r="X19" s="51"/>
    </row>
    <row r="20" spans="2:24" ht="101.25" customHeight="1" x14ac:dyDescent="0.25">
      <c r="B20" s="62" t="s">
        <v>63</v>
      </c>
      <c r="C20" s="67">
        <v>40404</v>
      </c>
      <c r="D20" s="190">
        <v>801</v>
      </c>
      <c r="E20" s="67">
        <v>27300364</v>
      </c>
      <c r="F20" s="190" t="s">
        <v>614</v>
      </c>
      <c r="G20" s="86" t="s">
        <v>389</v>
      </c>
      <c r="H20" s="75" t="s">
        <v>391</v>
      </c>
      <c r="I20" s="191" t="s">
        <v>393</v>
      </c>
      <c r="J20" s="193" t="s">
        <v>721</v>
      </c>
      <c r="K20" s="62" t="s">
        <v>363</v>
      </c>
      <c r="L20" s="65" t="s">
        <v>199</v>
      </c>
      <c r="M20" s="68">
        <f t="shared" ref="M20:M28" si="0">N20+O20+P20</f>
        <v>1124.46</v>
      </c>
      <c r="N20" s="62" t="s">
        <v>631</v>
      </c>
      <c r="O20" s="67">
        <v>410.4</v>
      </c>
      <c r="P20" s="62" t="s">
        <v>720</v>
      </c>
      <c r="Q20" s="76" t="s">
        <v>720</v>
      </c>
      <c r="R20" s="51"/>
      <c r="S20" s="51"/>
    </row>
    <row r="21" spans="2:24" ht="21.75" customHeight="1" x14ac:dyDescent="0.25">
      <c r="B21" s="62" t="s">
        <v>63</v>
      </c>
      <c r="C21" s="67">
        <v>40404</v>
      </c>
      <c r="D21" s="190">
        <v>801</v>
      </c>
      <c r="E21" s="67">
        <v>27300364</v>
      </c>
      <c r="F21" s="190" t="s">
        <v>192</v>
      </c>
      <c r="G21" s="86" t="s">
        <v>390</v>
      </c>
      <c r="H21" s="75" t="s">
        <v>392</v>
      </c>
      <c r="I21" s="191" t="s">
        <v>393</v>
      </c>
      <c r="J21" s="193" t="s">
        <v>723</v>
      </c>
      <c r="K21" s="62" t="s">
        <v>363</v>
      </c>
      <c r="L21" s="65" t="s">
        <v>199</v>
      </c>
      <c r="M21" s="68">
        <f t="shared" si="0"/>
        <v>2032.7049999999999</v>
      </c>
      <c r="N21" s="62" t="s">
        <v>630</v>
      </c>
      <c r="O21" s="67">
        <v>818</v>
      </c>
      <c r="P21" s="62" t="s">
        <v>722</v>
      </c>
      <c r="Q21" s="76" t="s">
        <v>722</v>
      </c>
      <c r="S21" s="149"/>
    </row>
    <row r="22" spans="2:24" ht="57" customHeight="1" x14ac:dyDescent="0.25">
      <c r="B22" s="62" t="s">
        <v>63</v>
      </c>
      <c r="C22" s="67">
        <v>40404</v>
      </c>
      <c r="D22" s="190">
        <v>801</v>
      </c>
      <c r="E22" s="67">
        <v>27300364</v>
      </c>
      <c r="F22" s="190" t="s">
        <v>192</v>
      </c>
      <c r="G22" s="86" t="s">
        <v>402</v>
      </c>
      <c r="H22" s="75" t="s">
        <v>615</v>
      </c>
      <c r="I22" s="191" t="s">
        <v>403</v>
      </c>
      <c r="J22" s="193" t="s">
        <v>725</v>
      </c>
      <c r="K22" s="62" t="s">
        <v>363</v>
      </c>
      <c r="L22" s="65" t="s">
        <v>199</v>
      </c>
      <c r="M22" s="68">
        <f t="shared" si="0"/>
        <v>3939.8539999999998</v>
      </c>
      <c r="N22" s="236">
        <f>1051.85+71.964+0.04</f>
        <v>1123.8539999999998</v>
      </c>
      <c r="O22" s="67">
        <v>1408</v>
      </c>
      <c r="P22" s="62" t="s">
        <v>724</v>
      </c>
      <c r="Q22" s="76" t="s">
        <v>724</v>
      </c>
      <c r="S22" s="149"/>
    </row>
    <row r="23" spans="2:24" ht="35.25" customHeight="1" x14ac:dyDescent="0.25">
      <c r="B23" s="62" t="s">
        <v>63</v>
      </c>
      <c r="C23" s="67">
        <v>40404</v>
      </c>
      <c r="D23" s="190">
        <v>801</v>
      </c>
      <c r="E23" s="67">
        <v>27300364</v>
      </c>
      <c r="F23" s="190" t="s">
        <v>192</v>
      </c>
      <c r="G23" s="86" t="s">
        <v>399</v>
      </c>
      <c r="H23" s="75" t="s">
        <v>617</v>
      </c>
      <c r="I23" s="191" t="s">
        <v>400</v>
      </c>
      <c r="J23" s="193" t="s">
        <v>727</v>
      </c>
      <c r="K23" s="62" t="s">
        <v>363</v>
      </c>
      <c r="L23" s="65" t="s">
        <v>199</v>
      </c>
      <c r="M23" s="68">
        <f t="shared" si="0"/>
        <v>1362.9</v>
      </c>
      <c r="N23" s="236">
        <f>314.1+14.4</f>
        <v>328.5</v>
      </c>
      <c r="O23" s="67">
        <v>517.20000000000005</v>
      </c>
      <c r="P23" s="62" t="s">
        <v>726</v>
      </c>
      <c r="Q23" s="76" t="s">
        <v>726</v>
      </c>
    </row>
    <row r="24" spans="2:24" ht="32.25" customHeight="1" x14ac:dyDescent="0.25">
      <c r="B24" s="62" t="s">
        <v>63</v>
      </c>
      <c r="C24" s="67">
        <v>40404</v>
      </c>
      <c r="D24" s="190">
        <v>801</v>
      </c>
      <c r="E24" s="67">
        <v>27300364</v>
      </c>
      <c r="F24" s="190" t="s">
        <v>192</v>
      </c>
      <c r="G24" s="86" t="s">
        <v>396</v>
      </c>
      <c r="H24" s="75" t="s">
        <v>397</v>
      </c>
      <c r="I24" s="191" t="s">
        <v>393</v>
      </c>
      <c r="J24" s="193" t="s">
        <v>398</v>
      </c>
      <c r="K24" s="62" t="s">
        <v>363</v>
      </c>
      <c r="L24" s="65" t="s">
        <v>199</v>
      </c>
      <c r="M24" s="68">
        <f t="shared" si="0"/>
        <v>120</v>
      </c>
      <c r="N24" s="62" t="s">
        <v>268</v>
      </c>
      <c r="O24" s="67" t="s">
        <v>268</v>
      </c>
      <c r="P24" s="62" t="s">
        <v>268</v>
      </c>
      <c r="Q24" s="76" t="s">
        <v>268</v>
      </c>
    </row>
    <row r="25" spans="2:24" ht="50.25" customHeight="1" x14ac:dyDescent="0.25">
      <c r="B25" s="62" t="s">
        <v>63</v>
      </c>
      <c r="C25" s="67">
        <v>40404</v>
      </c>
      <c r="D25" s="190">
        <v>801</v>
      </c>
      <c r="E25" s="67">
        <v>27300364</v>
      </c>
      <c r="F25" s="190" t="s">
        <v>192</v>
      </c>
      <c r="G25" s="86" t="s">
        <v>260</v>
      </c>
      <c r="H25" s="75" t="s">
        <v>230</v>
      </c>
      <c r="I25" s="191" t="s">
        <v>240</v>
      </c>
      <c r="J25" s="193" t="s">
        <v>263</v>
      </c>
      <c r="K25" s="62" t="s">
        <v>364</v>
      </c>
      <c r="L25" s="65" t="s">
        <v>199</v>
      </c>
      <c r="M25" s="68">
        <f t="shared" si="0"/>
        <v>300.42</v>
      </c>
      <c r="N25" s="62" t="s">
        <v>269</v>
      </c>
      <c r="O25" s="67" t="s">
        <v>269</v>
      </c>
      <c r="P25" s="62" t="s">
        <v>269</v>
      </c>
      <c r="Q25" s="76" t="s">
        <v>269</v>
      </c>
    </row>
    <row r="26" spans="2:24" ht="50.25" customHeight="1" x14ac:dyDescent="0.25">
      <c r="B26" s="62" t="s">
        <v>63</v>
      </c>
      <c r="C26" s="67">
        <v>40404</v>
      </c>
      <c r="D26" s="190">
        <v>801</v>
      </c>
      <c r="E26" s="67">
        <v>27300364</v>
      </c>
      <c r="F26" s="190" t="s">
        <v>192</v>
      </c>
      <c r="G26" s="86" t="s">
        <v>627</v>
      </c>
      <c r="H26" s="75" t="s">
        <v>230</v>
      </c>
      <c r="I26" s="191" t="s">
        <v>240</v>
      </c>
      <c r="J26" s="193" t="s">
        <v>263</v>
      </c>
      <c r="K26" s="62" t="s">
        <v>364</v>
      </c>
      <c r="L26" s="65" t="s">
        <v>199</v>
      </c>
      <c r="M26" s="68">
        <f t="shared" si="0"/>
        <v>150</v>
      </c>
      <c r="N26" s="62" t="s">
        <v>270</v>
      </c>
      <c r="O26" s="67" t="s">
        <v>270</v>
      </c>
      <c r="P26" s="62" t="s">
        <v>270</v>
      </c>
      <c r="Q26" s="76" t="s">
        <v>270</v>
      </c>
    </row>
    <row r="27" spans="2:24" ht="63" x14ac:dyDescent="0.25">
      <c r="B27" s="62" t="s">
        <v>63</v>
      </c>
      <c r="C27" s="67">
        <v>40404</v>
      </c>
      <c r="D27" s="190">
        <v>801</v>
      </c>
      <c r="E27" s="67">
        <v>27300364</v>
      </c>
      <c r="F27" s="190" t="s">
        <v>192</v>
      </c>
      <c r="G27" s="86" t="s">
        <v>261</v>
      </c>
      <c r="H27" s="75" t="s">
        <v>230</v>
      </c>
      <c r="I27" s="191" t="s">
        <v>240</v>
      </c>
      <c r="J27" s="193" t="s">
        <v>263</v>
      </c>
      <c r="K27" s="62" t="s">
        <v>364</v>
      </c>
      <c r="L27" s="65" t="s">
        <v>199</v>
      </c>
      <c r="M27" s="68">
        <f t="shared" si="0"/>
        <v>1458</v>
      </c>
      <c r="N27" s="62" t="s">
        <v>271</v>
      </c>
      <c r="O27" s="67" t="s">
        <v>271</v>
      </c>
      <c r="P27" s="62" t="s">
        <v>271</v>
      </c>
      <c r="Q27" s="76" t="s">
        <v>271</v>
      </c>
    </row>
    <row r="28" spans="2:24" ht="48" thickBot="1" x14ac:dyDescent="0.3">
      <c r="B28" s="62" t="s">
        <v>63</v>
      </c>
      <c r="C28" s="67">
        <v>40404</v>
      </c>
      <c r="D28" s="190">
        <v>801</v>
      </c>
      <c r="E28" s="67">
        <v>27300364</v>
      </c>
      <c r="F28" s="190" t="s">
        <v>192</v>
      </c>
      <c r="G28" s="86" t="s">
        <v>686</v>
      </c>
      <c r="H28" s="75" t="s">
        <v>230</v>
      </c>
      <c r="I28" s="191" t="s">
        <v>240</v>
      </c>
      <c r="J28" s="193" t="s">
        <v>263</v>
      </c>
      <c r="K28" s="62" t="s">
        <v>685</v>
      </c>
      <c r="L28" s="65" t="s">
        <v>199</v>
      </c>
      <c r="M28" s="68">
        <f t="shared" si="0"/>
        <v>240</v>
      </c>
      <c r="N28" s="62" t="s">
        <v>272</v>
      </c>
      <c r="O28" s="67" t="s">
        <v>272</v>
      </c>
      <c r="P28" s="62" t="s">
        <v>272</v>
      </c>
      <c r="Q28" s="362" t="s">
        <v>272</v>
      </c>
    </row>
    <row r="29" spans="2:24" ht="94.5" x14ac:dyDescent="0.25">
      <c r="B29" s="62" t="s">
        <v>63</v>
      </c>
      <c r="C29" s="67" t="s">
        <v>510</v>
      </c>
      <c r="D29" s="194" t="s">
        <v>116</v>
      </c>
      <c r="E29" s="67" t="s">
        <v>116</v>
      </c>
      <c r="F29" s="190" t="s">
        <v>116</v>
      </c>
      <c r="G29" s="69" t="s">
        <v>236</v>
      </c>
      <c r="H29" s="75" t="s">
        <v>230</v>
      </c>
      <c r="I29" s="191" t="s">
        <v>240</v>
      </c>
      <c r="J29" s="119">
        <f>J30+J31+J32+J33+J34</f>
        <v>5</v>
      </c>
      <c r="K29" s="238" t="s">
        <v>363</v>
      </c>
      <c r="L29" s="218" t="s">
        <v>199</v>
      </c>
      <c r="M29" s="385">
        <f>SUM(M30:M34)</f>
        <v>5865</v>
      </c>
      <c r="N29" s="317">
        <f>N30+N31+N32+N33+N34</f>
        <v>1955</v>
      </c>
      <c r="O29" s="349">
        <f>O30+O31+O32+O33+O34</f>
        <v>1955</v>
      </c>
      <c r="P29" s="317">
        <f>P30+P31+P32+P33+P34</f>
        <v>1955</v>
      </c>
      <c r="Q29" s="316">
        <f>Q30+Q31+Q32+Q33+Q34</f>
        <v>1955</v>
      </c>
      <c r="S29" s="51"/>
    </row>
    <row r="30" spans="2:24" ht="51" customHeight="1" x14ac:dyDescent="0.25">
      <c r="B30" s="62" t="s">
        <v>63</v>
      </c>
      <c r="C30" s="67" t="s">
        <v>510</v>
      </c>
      <c r="D30" s="190">
        <v>801</v>
      </c>
      <c r="E30" s="67">
        <v>27300364</v>
      </c>
      <c r="F30" s="190" t="s">
        <v>511</v>
      </c>
      <c r="G30" s="86" t="s">
        <v>719</v>
      </c>
      <c r="H30" s="75" t="s">
        <v>230</v>
      </c>
      <c r="I30" s="191" t="s">
        <v>240</v>
      </c>
      <c r="J30" s="115" t="s">
        <v>263</v>
      </c>
      <c r="K30" s="62" t="s">
        <v>363</v>
      </c>
      <c r="L30" s="65" t="s">
        <v>199</v>
      </c>
      <c r="M30" s="68">
        <f t="shared" ref="M30:M36" si="1">N30+O30+P30</f>
        <v>60</v>
      </c>
      <c r="N30" s="62" t="s">
        <v>275</v>
      </c>
      <c r="O30" s="68" t="s">
        <v>275</v>
      </c>
      <c r="P30" s="62" t="s">
        <v>275</v>
      </c>
      <c r="Q30" s="76" t="s">
        <v>275</v>
      </c>
    </row>
    <row r="31" spans="2:24" ht="63" x14ac:dyDescent="0.25">
      <c r="B31" s="62" t="s">
        <v>63</v>
      </c>
      <c r="C31" s="67" t="s">
        <v>510</v>
      </c>
      <c r="D31" s="190">
        <v>801</v>
      </c>
      <c r="E31" s="67">
        <v>27300364</v>
      </c>
      <c r="F31" s="190" t="s">
        <v>511</v>
      </c>
      <c r="G31" s="86" t="s">
        <v>274</v>
      </c>
      <c r="H31" s="75" t="s">
        <v>230</v>
      </c>
      <c r="I31" s="191" t="s">
        <v>240</v>
      </c>
      <c r="J31" s="115" t="s">
        <v>263</v>
      </c>
      <c r="K31" s="62" t="s">
        <v>363</v>
      </c>
      <c r="L31" s="65" t="s">
        <v>199</v>
      </c>
      <c r="M31" s="68">
        <f t="shared" si="1"/>
        <v>300</v>
      </c>
      <c r="N31" s="62" t="s">
        <v>276</v>
      </c>
      <c r="O31" s="68" t="s">
        <v>276</v>
      </c>
      <c r="P31" s="62" t="s">
        <v>276</v>
      </c>
      <c r="Q31" s="76" t="s">
        <v>276</v>
      </c>
    </row>
    <row r="32" spans="2:24" ht="54.75" customHeight="1" x14ac:dyDescent="0.25">
      <c r="B32" s="62" t="s">
        <v>63</v>
      </c>
      <c r="C32" s="67" t="s">
        <v>510</v>
      </c>
      <c r="D32" s="190">
        <v>801</v>
      </c>
      <c r="E32" s="67">
        <v>27300364</v>
      </c>
      <c r="F32" s="190" t="s">
        <v>422</v>
      </c>
      <c r="G32" s="86" t="s">
        <v>718</v>
      </c>
      <c r="H32" s="75" t="s">
        <v>230</v>
      </c>
      <c r="I32" s="191" t="s">
        <v>240</v>
      </c>
      <c r="J32" s="115" t="s">
        <v>263</v>
      </c>
      <c r="K32" s="62" t="s">
        <v>363</v>
      </c>
      <c r="L32" s="65" t="s">
        <v>199</v>
      </c>
      <c r="M32" s="68">
        <f t="shared" si="1"/>
        <v>1395</v>
      </c>
      <c r="N32" s="62" t="s">
        <v>619</v>
      </c>
      <c r="O32" s="68" t="s">
        <v>619</v>
      </c>
      <c r="P32" s="62" t="s">
        <v>619</v>
      </c>
      <c r="Q32" s="76" t="s">
        <v>619</v>
      </c>
    </row>
    <row r="33" spans="2:21" ht="57" customHeight="1" x14ac:dyDescent="0.25">
      <c r="B33" s="62" t="s">
        <v>63</v>
      </c>
      <c r="C33" s="67" t="s">
        <v>510</v>
      </c>
      <c r="D33" s="190">
        <v>801</v>
      </c>
      <c r="E33" s="67">
        <v>27300364</v>
      </c>
      <c r="F33" s="190" t="s">
        <v>426</v>
      </c>
      <c r="G33" s="86" t="s">
        <v>561</v>
      </c>
      <c r="H33" s="75" t="s">
        <v>230</v>
      </c>
      <c r="I33" s="191" t="s">
        <v>240</v>
      </c>
      <c r="J33" s="115" t="s">
        <v>263</v>
      </c>
      <c r="K33" s="62" t="s">
        <v>362</v>
      </c>
      <c r="L33" s="65" t="s">
        <v>199</v>
      </c>
      <c r="M33" s="68">
        <f t="shared" si="1"/>
        <v>1194</v>
      </c>
      <c r="N33" s="62" t="s">
        <v>618</v>
      </c>
      <c r="O33" s="68" t="s">
        <v>618</v>
      </c>
      <c r="P33" s="62" t="s">
        <v>618</v>
      </c>
      <c r="Q33" s="76" t="s">
        <v>618</v>
      </c>
    </row>
    <row r="34" spans="2:21" ht="52.5" customHeight="1" thickBot="1" x14ac:dyDescent="0.3">
      <c r="B34" s="62" t="s">
        <v>63</v>
      </c>
      <c r="C34" s="67" t="s">
        <v>510</v>
      </c>
      <c r="D34" s="190">
        <v>801</v>
      </c>
      <c r="E34" s="67">
        <v>27300364</v>
      </c>
      <c r="F34" s="190" t="s">
        <v>200</v>
      </c>
      <c r="G34" s="86" t="s">
        <v>683</v>
      </c>
      <c r="H34" s="75" t="s">
        <v>230</v>
      </c>
      <c r="I34" s="191" t="s">
        <v>240</v>
      </c>
      <c r="J34" s="115" t="s">
        <v>263</v>
      </c>
      <c r="K34" s="62" t="s">
        <v>364</v>
      </c>
      <c r="L34" s="65" t="s">
        <v>199</v>
      </c>
      <c r="M34" s="68">
        <f t="shared" si="1"/>
        <v>2916</v>
      </c>
      <c r="N34" s="180" t="s">
        <v>277</v>
      </c>
      <c r="O34" s="350" t="s">
        <v>277</v>
      </c>
      <c r="P34" s="180" t="s">
        <v>277</v>
      </c>
      <c r="Q34" s="122" t="s">
        <v>277</v>
      </c>
    </row>
    <row r="35" spans="2:21" ht="53.25" customHeight="1" thickBot="1" x14ac:dyDescent="0.3">
      <c r="B35" s="62" t="s">
        <v>63</v>
      </c>
      <c r="C35" s="111" t="s">
        <v>586</v>
      </c>
      <c r="D35" s="194" t="s">
        <v>116</v>
      </c>
      <c r="E35" s="67" t="s">
        <v>116</v>
      </c>
      <c r="F35" s="190" t="s">
        <v>116</v>
      </c>
      <c r="G35" s="69" t="s">
        <v>584</v>
      </c>
      <c r="H35" s="190" t="s">
        <v>116</v>
      </c>
      <c r="I35" s="191" t="s">
        <v>116</v>
      </c>
      <c r="J35" s="193" t="s">
        <v>116</v>
      </c>
      <c r="K35" s="62" t="s">
        <v>116</v>
      </c>
      <c r="L35" s="65" t="s">
        <v>199</v>
      </c>
      <c r="M35" s="68">
        <f t="shared" si="1"/>
        <v>28533.07</v>
      </c>
      <c r="N35" s="318" t="str">
        <f>N36</f>
        <v>9415,882</v>
      </c>
      <c r="O35" s="320" t="str">
        <f>O36</f>
        <v>9558,594</v>
      </c>
      <c r="P35" s="318" t="str">
        <f>P36</f>
        <v>9558,594</v>
      </c>
      <c r="Q35" s="319">
        <f>Q36</f>
        <v>0</v>
      </c>
      <c r="T35" s="37">
        <v>9299.1</v>
      </c>
      <c r="U35" s="149">
        <f>N35-T35</f>
        <v>116.78199999999924</v>
      </c>
    </row>
    <row r="36" spans="2:21" ht="53.25" customHeight="1" x14ac:dyDescent="0.25">
      <c r="B36" s="1050" t="s">
        <v>63</v>
      </c>
      <c r="C36" s="1071" t="s">
        <v>586</v>
      </c>
      <c r="D36" s="1052">
        <v>801</v>
      </c>
      <c r="E36" s="1071" t="s">
        <v>285</v>
      </c>
      <c r="F36" s="1052" t="s">
        <v>503</v>
      </c>
      <c r="G36" s="298" t="s">
        <v>286</v>
      </c>
      <c r="H36" s="75" t="s">
        <v>187</v>
      </c>
      <c r="I36" s="191" t="s">
        <v>241</v>
      </c>
      <c r="J36" s="297" t="s">
        <v>574</v>
      </c>
      <c r="K36" s="62" t="s">
        <v>363</v>
      </c>
      <c r="L36" s="65" t="str">
        <f>L35</f>
        <v>-</v>
      </c>
      <c r="M36" s="68">
        <f t="shared" si="1"/>
        <v>28533.07</v>
      </c>
      <c r="N36" s="1023" t="s">
        <v>687</v>
      </c>
      <c r="O36" s="1096" t="s">
        <v>698</v>
      </c>
      <c r="P36" s="1022" t="s">
        <v>698</v>
      </c>
      <c r="Q36" s="1107">
        <v>0</v>
      </c>
      <c r="R36" s="302" t="s">
        <v>286</v>
      </c>
      <c r="S36" s="292" t="str">
        <f>J36</f>
        <v>55</v>
      </c>
    </row>
    <row r="37" spans="2:21" ht="66.75" customHeight="1" thickBot="1" x14ac:dyDescent="0.3">
      <c r="B37" s="1051"/>
      <c r="C37" s="1072"/>
      <c r="D37" s="1054"/>
      <c r="E37" s="1072"/>
      <c r="F37" s="1054"/>
      <c r="G37" s="298" t="s">
        <v>287</v>
      </c>
      <c r="H37" s="75" t="s">
        <v>234</v>
      </c>
      <c r="I37" s="67" t="s">
        <v>393</v>
      </c>
      <c r="J37" s="297" t="s">
        <v>270</v>
      </c>
      <c r="K37" s="62" t="s">
        <v>363</v>
      </c>
      <c r="L37" s="65"/>
      <c r="M37" s="68"/>
      <c r="N37" s="1051"/>
      <c r="O37" s="1097"/>
      <c r="P37" s="1051"/>
      <c r="Q37" s="1108"/>
      <c r="R37" s="303" t="str">
        <f>G37</f>
        <v xml:space="preserve">Организация и проведение официальных физкультурных (физкультурно- оздоровительных) мероприятий </v>
      </c>
      <c r="S37" s="292" t="str">
        <f t="shared" ref="S37:S108" si="2">J37</f>
        <v>50</v>
      </c>
    </row>
    <row r="38" spans="2:21" ht="50.25" customHeight="1" thickBot="1" x14ac:dyDescent="0.3">
      <c r="B38" s="62" t="s">
        <v>63</v>
      </c>
      <c r="C38" s="67" t="s">
        <v>291</v>
      </c>
      <c r="D38" s="194" t="s">
        <v>116</v>
      </c>
      <c r="E38" s="67" t="s">
        <v>116</v>
      </c>
      <c r="F38" s="190" t="s">
        <v>116</v>
      </c>
      <c r="G38" s="69" t="s">
        <v>77</v>
      </c>
      <c r="H38" s="75" t="s">
        <v>559</v>
      </c>
      <c r="I38" s="191" t="s">
        <v>240</v>
      </c>
      <c r="J38" s="193" t="s">
        <v>560</v>
      </c>
      <c r="K38" s="62" t="s">
        <v>363</v>
      </c>
      <c r="L38" s="65" t="s">
        <v>199</v>
      </c>
      <c r="M38" s="68">
        <f>N38+O38+P38</f>
        <v>3508.9989999999998</v>
      </c>
      <c r="N38" s="317">
        <f>N39+N40</f>
        <v>3508.9989999999998</v>
      </c>
      <c r="O38" s="351">
        <v>0</v>
      </c>
      <c r="P38" s="321">
        <v>0</v>
      </c>
      <c r="Q38" s="316">
        <v>0</v>
      </c>
      <c r="R38" s="304" t="str">
        <f t="shared" ref="R38:R109" si="3">G38</f>
        <v>Субсидии в целях осуществления мероприятий по содержанию муниципального имущества</v>
      </c>
      <c r="S38" s="292" t="str">
        <f t="shared" si="2"/>
        <v>1/1/1</v>
      </c>
    </row>
    <row r="39" spans="2:21" ht="70.5" customHeight="1" thickBot="1" x14ac:dyDescent="0.3">
      <c r="B39" s="180" t="s">
        <v>63</v>
      </c>
      <c r="C39" s="185" t="s">
        <v>291</v>
      </c>
      <c r="D39" s="184">
        <v>801</v>
      </c>
      <c r="E39" s="185" t="s">
        <v>285</v>
      </c>
      <c r="F39" s="184" t="s">
        <v>503</v>
      </c>
      <c r="G39" s="71" t="s">
        <v>558</v>
      </c>
      <c r="H39" s="95" t="s">
        <v>648</v>
      </c>
      <c r="I39" s="187" t="s">
        <v>240</v>
      </c>
      <c r="J39" s="97" t="s">
        <v>637</v>
      </c>
      <c r="K39" s="180" t="s">
        <v>363</v>
      </c>
      <c r="L39" s="83" t="s">
        <v>199</v>
      </c>
      <c r="M39" s="350">
        <v>1500</v>
      </c>
      <c r="N39" s="379">
        <v>2958.9989999999998</v>
      </c>
      <c r="O39" s="394">
        <v>0</v>
      </c>
      <c r="P39" s="375">
        <v>0</v>
      </c>
      <c r="Q39" s="363" t="s">
        <v>695</v>
      </c>
      <c r="R39" s="304" t="str">
        <f t="shared" si="3"/>
        <v>Разработка проектно-сметной документации, устройство и замена ограждения, замена насоса, установка тревожной кнопки</v>
      </c>
      <c r="S39" s="292" t="str">
        <f t="shared" si="2"/>
        <v>1/1/1/1</v>
      </c>
      <c r="T39" s="37">
        <v>3529.65</v>
      </c>
      <c r="U39" s="51">
        <f>N38-T39</f>
        <v>-20.651000000000295</v>
      </c>
    </row>
    <row r="40" spans="2:21" ht="54" customHeight="1" thickBot="1" x14ac:dyDescent="0.3">
      <c r="B40" s="130" t="s">
        <v>63</v>
      </c>
      <c r="C40" s="131" t="s">
        <v>291</v>
      </c>
      <c r="D40" s="125">
        <v>801</v>
      </c>
      <c r="E40" s="131" t="s">
        <v>285</v>
      </c>
      <c r="F40" s="125" t="s">
        <v>503</v>
      </c>
      <c r="G40" s="230" t="s">
        <v>666</v>
      </c>
      <c r="H40" s="229" t="s">
        <v>667</v>
      </c>
      <c r="I40" s="231" t="s">
        <v>240</v>
      </c>
      <c r="J40" s="135" t="s">
        <v>263</v>
      </c>
      <c r="K40" s="130" t="s">
        <v>363</v>
      </c>
      <c r="L40" s="225"/>
      <c r="M40" s="386"/>
      <c r="N40" s="130" t="s">
        <v>665</v>
      </c>
      <c r="O40" s="394">
        <v>0</v>
      </c>
      <c r="P40" s="375">
        <v>0</v>
      </c>
      <c r="Q40" s="363" t="s">
        <v>695</v>
      </c>
      <c r="R40" s="304" t="str">
        <f t="shared" si="3"/>
        <v>Разработка проектно - сметной документации на устройство сантехнического павильона</v>
      </c>
      <c r="S40" s="292" t="str">
        <f t="shared" si="2"/>
        <v>1</v>
      </c>
    </row>
    <row r="41" spans="2:21" ht="54" customHeight="1" thickBot="1" x14ac:dyDescent="0.3">
      <c r="B41" s="180" t="s">
        <v>63</v>
      </c>
      <c r="C41" s="185" t="s">
        <v>295</v>
      </c>
      <c r="D41" s="184">
        <v>801</v>
      </c>
      <c r="E41" s="185" t="s">
        <v>285</v>
      </c>
      <c r="F41" s="179" t="s">
        <v>503</v>
      </c>
      <c r="G41" s="136" t="s">
        <v>280</v>
      </c>
      <c r="H41" s="190" t="s">
        <v>116</v>
      </c>
      <c r="I41" s="191" t="s">
        <v>116</v>
      </c>
      <c r="J41" s="193" t="s">
        <v>116</v>
      </c>
      <c r="K41" s="62" t="s">
        <v>116</v>
      </c>
      <c r="L41" s="135"/>
      <c r="M41" s="387"/>
      <c r="N41" s="321">
        <f>N42+N43</f>
        <v>2280</v>
      </c>
      <c r="O41" s="351">
        <f>O42+O43</f>
        <v>0</v>
      </c>
      <c r="P41" s="321">
        <f>P42+P43</f>
        <v>0</v>
      </c>
      <c r="Q41" s="322">
        <f>Q42+Q43</f>
        <v>0</v>
      </c>
      <c r="R41" s="304" t="str">
        <f t="shared" si="3"/>
        <v xml:space="preserve">Субсидии в целях приобретения нефинансовых активов        </v>
      </c>
      <c r="S41" s="292" t="str">
        <f t="shared" si="2"/>
        <v>х</v>
      </c>
    </row>
    <row r="42" spans="2:21" ht="54" customHeight="1" thickBot="1" x14ac:dyDescent="0.3">
      <c r="B42" s="130" t="s">
        <v>63</v>
      </c>
      <c r="C42" s="131" t="s">
        <v>295</v>
      </c>
      <c r="D42" s="125">
        <v>801</v>
      </c>
      <c r="E42" s="131" t="s">
        <v>285</v>
      </c>
      <c r="F42" s="125" t="s">
        <v>503</v>
      </c>
      <c r="G42" s="230" t="s">
        <v>690</v>
      </c>
      <c r="H42" s="229" t="s">
        <v>692</v>
      </c>
      <c r="I42" s="231" t="s">
        <v>240</v>
      </c>
      <c r="J42" s="135" t="s">
        <v>263</v>
      </c>
      <c r="K42" s="130" t="s">
        <v>363</v>
      </c>
      <c r="L42" s="135"/>
      <c r="M42" s="387"/>
      <c r="N42" s="130" t="s">
        <v>693</v>
      </c>
      <c r="O42" s="234">
        <v>0</v>
      </c>
      <c r="P42" s="235">
        <v>0</v>
      </c>
      <c r="Q42" s="363" t="s">
        <v>695</v>
      </c>
      <c r="R42" s="304" t="str">
        <f t="shared" si="3"/>
        <v>Приобретение компьютера в сборе с ПО</v>
      </c>
      <c r="S42" s="292" t="str">
        <f t="shared" si="2"/>
        <v>1</v>
      </c>
    </row>
    <row r="43" spans="2:21" ht="54" customHeight="1" thickBot="1" x14ac:dyDescent="0.3">
      <c r="B43" s="130" t="s">
        <v>63</v>
      </c>
      <c r="C43" s="131" t="s">
        <v>295</v>
      </c>
      <c r="D43" s="125">
        <v>801</v>
      </c>
      <c r="E43" s="131" t="s">
        <v>285</v>
      </c>
      <c r="F43" s="125" t="s">
        <v>503</v>
      </c>
      <c r="G43" s="230" t="s">
        <v>691</v>
      </c>
      <c r="H43" s="229" t="s">
        <v>190</v>
      </c>
      <c r="I43" s="231" t="s">
        <v>240</v>
      </c>
      <c r="J43" s="135" t="s">
        <v>263</v>
      </c>
      <c r="K43" s="130" t="s">
        <v>363</v>
      </c>
      <c r="L43" s="135"/>
      <c r="M43" s="387"/>
      <c r="N43" s="130" t="s">
        <v>694</v>
      </c>
      <c r="O43" s="234">
        <v>0</v>
      </c>
      <c r="P43" s="235">
        <v>0</v>
      </c>
      <c r="Q43" s="363" t="s">
        <v>468</v>
      </c>
      <c r="R43" s="304" t="str">
        <f t="shared" si="3"/>
        <v>Приобретение оборудования для открытия отделения на Верхнем озере</v>
      </c>
      <c r="S43" s="292" t="str">
        <f t="shared" si="2"/>
        <v>1</v>
      </c>
    </row>
    <row r="44" spans="2:21" ht="67.5" customHeight="1" x14ac:dyDescent="0.25">
      <c r="B44" s="1023" t="s">
        <v>64</v>
      </c>
      <c r="C44" s="1069" t="s">
        <v>116</v>
      </c>
      <c r="D44" s="1127" t="s">
        <v>116</v>
      </c>
      <c r="E44" s="1073" t="s">
        <v>116</v>
      </c>
      <c r="F44" s="1100" t="s">
        <v>116</v>
      </c>
      <c r="G44" s="1080" t="s">
        <v>175</v>
      </c>
      <c r="H44" s="127" t="s">
        <v>381</v>
      </c>
      <c r="I44" s="188" t="s">
        <v>244</v>
      </c>
      <c r="J44" s="128" t="s">
        <v>227</v>
      </c>
      <c r="K44" s="1023" t="s">
        <v>363</v>
      </c>
      <c r="L44" s="129" t="s">
        <v>199</v>
      </c>
      <c r="M44" s="332"/>
      <c r="N44" s="1090">
        <f>N50+N76+N102</f>
        <v>251853.23851999998</v>
      </c>
      <c r="O44" s="1090">
        <f>O50+O76+O102</f>
        <v>241594.40472000002</v>
      </c>
      <c r="P44" s="1090">
        <f>P50+P76+P102</f>
        <v>161555.50520000001</v>
      </c>
      <c r="Q44" s="1109">
        <f>Q50+Q76+Q102</f>
        <v>0</v>
      </c>
      <c r="R44" s="304" t="str">
        <f t="shared" si="3"/>
        <v>Обеспечение предоставления дополнительного образования детям в образовательных организациях спортивной направленности</v>
      </c>
      <c r="S44" s="292" t="str">
        <f t="shared" si="2"/>
        <v>2830/919450</v>
      </c>
    </row>
    <row r="45" spans="2:21" ht="35.25" customHeight="1" x14ac:dyDescent="0.25">
      <c r="B45" s="1023"/>
      <c r="C45" s="1069"/>
      <c r="D45" s="1127"/>
      <c r="E45" s="1073"/>
      <c r="F45" s="1100"/>
      <c r="G45" s="1080"/>
      <c r="H45" s="75" t="s">
        <v>187</v>
      </c>
      <c r="I45" s="191" t="s">
        <v>241</v>
      </c>
      <c r="J45" s="87" t="e">
        <f>J58+#REF!+#REF!+#REF!</f>
        <v>#REF!</v>
      </c>
      <c r="K45" s="1023"/>
      <c r="L45" s="65"/>
      <c r="M45" s="68"/>
      <c r="N45" s="1091"/>
      <c r="O45" s="1091"/>
      <c r="P45" s="1091"/>
      <c r="Q45" s="1109"/>
      <c r="R45" s="304">
        <f t="shared" si="3"/>
        <v>0</v>
      </c>
      <c r="S45" s="292" t="e">
        <f t="shared" si="2"/>
        <v>#REF!</v>
      </c>
    </row>
    <row r="46" spans="2:21" ht="39" customHeight="1" x14ac:dyDescent="0.25">
      <c r="B46" s="1023"/>
      <c r="C46" s="1069"/>
      <c r="D46" s="1127"/>
      <c r="E46" s="1073"/>
      <c r="F46" s="1100"/>
      <c r="G46" s="1080"/>
      <c r="H46" s="75" t="s">
        <v>232</v>
      </c>
      <c r="I46" s="191" t="s">
        <v>240</v>
      </c>
      <c r="J46" s="87">
        <f>J53+J73</f>
        <v>10</v>
      </c>
      <c r="K46" s="1023"/>
      <c r="L46" s="65"/>
      <c r="M46" s="68"/>
      <c r="N46" s="1091"/>
      <c r="O46" s="1091"/>
      <c r="P46" s="1091"/>
      <c r="Q46" s="1109"/>
      <c r="R46" s="304">
        <f t="shared" si="3"/>
        <v>0</v>
      </c>
      <c r="S46" s="292">
        <f t="shared" si="2"/>
        <v>10</v>
      </c>
    </row>
    <row r="47" spans="2:21" ht="37.5" customHeight="1" x14ac:dyDescent="0.25">
      <c r="B47" s="1023"/>
      <c r="C47" s="1069"/>
      <c r="D47" s="1127"/>
      <c r="E47" s="1073"/>
      <c r="F47" s="1100"/>
      <c r="G47" s="1080"/>
      <c r="H47" s="75" t="s">
        <v>233</v>
      </c>
      <c r="I47" s="191" t="s">
        <v>241</v>
      </c>
      <c r="J47" s="87">
        <v>2720</v>
      </c>
      <c r="K47" s="1023"/>
      <c r="L47" s="65"/>
      <c r="M47" s="68"/>
      <c r="N47" s="1091"/>
      <c r="O47" s="1091"/>
      <c r="P47" s="1091"/>
      <c r="Q47" s="1109"/>
      <c r="R47" s="304">
        <f t="shared" si="3"/>
        <v>0</v>
      </c>
      <c r="S47" s="292">
        <f t="shared" si="2"/>
        <v>2720</v>
      </c>
    </row>
    <row r="48" spans="2:21" ht="85.5" customHeight="1" x14ac:dyDescent="0.25">
      <c r="B48" s="1023"/>
      <c r="C48" s="1069"/>
      <c r="D48" s="1127"/>
      <c r="E48" s="1073"/>
      <c r="F48" s="1100"/>
      <c r="G48" s="1080"/>
      <c r="H48" s="75" t="s">
        <v>254</v>
      </c>
      <c r="I48" s="191" t="s">
        <v>240</v>
      </c>
      <c r="J48" s="87">
        <v>4</v>
      </c>
      <c r="K48" s="1023"/>
      <c r="L48" s="65"/>
      <c r="M48" s="68"/>
      <c r="N48" s="1091"/>
      <c r="O48" s="1091"/>
      <c r="P48" s="1091"/>
      <c r="Q48" s="1109"/>
      <c r="R48" s="304">
        <f t="shared" si="3"/>
        <v>0</v>
      </c>
      <c r="S48" s="292">
        <f t="shared" si="2"/>
        <v>4</v>
      </c>
    </row>
    <row r="49" spans="2:23" ht="84.75" customHeight="1" thickBot="1" x14ac:dyDescent="0.3">
      <c r="B49" s="1023"/>
      <c r="C49" s="1069"/>
      <c r="D49" s="1127"/>
      <c r="E49" s="1073"/>
      <c r="F49" s="1100"/>
      <c r="G49" s="1080"/>
      <c r="H49" s="95" t="s">
        <v>527</v>
      </c>
      <c r="I49" s="187" t="s">
        <v>240</v>
      </c>
      <c r="J49" s="249">
        <v>6</v>
      </c>
      <c r="K49" s="1023"/>
      <c r="L49" s="83"/>
      <c r="M49" s="350"/>
      <c r="N49" s="1093"/>
      <c r="O49" s="1093"/>
      <c r="P49" s="1093"/>
      <c r="Q49" s="1109"/>
      <c r="R49" s="304">
        <f t="shared" si="3"/>
        <v>0</v>
      </c>
      <c r="S49" s="292">
        <f t="shared" si="2"/>
        <v>6</v>
      </c>
      <c r="U49" s="329" t="s">
        <v>735</v>
      </c>
      <c r="V49" s="329"/>
      <c r="W49" s="329"/>
    </row>
    <row r="50" spans="2:23" ht="51" customHeight="1" thickBot="1" x14ac:dyDescent="0.3">
      <c r="B50" s="130" t="s">
        <v>64</v>
      </c>
      <c r="C50" s="250" t="s">
        <v>557</v>
      </c>
      <c r="D50" s="231" t="s">
        <v>116</v>
      </c>
      <c r="E50" s="131" t="s">
        <v>116</v>
      </c>
      <c r="F50" s="231" t="s">
        <v>116</v>
      </c>
      <c r="G50" s="132" t="s">
        <v>587</v>
      </c>
      <c r="H50" s="125" t="s">
        <v>116</v>
      </c>
      <c r="I50" s="133" t="s">
        <v>116</v>
      </c>
      <c r="J50" s="134" t="s">
        <v>116</v>
      </c>
      <c r="K50" s="130" t="s">
        <v>363</v>
      </c>
      <c r="L50" s="135" t="s">
        <v>199</v>
      </c>
      <c r="M50" s="387">
        <f>N50+O50+P50</f>
        <v>391010.90592000005</v>
      </c>
      <c r="N50" s="321">
        <f>N51+N57+N59+N62+N64+N66+N68+N71+N74+N75</f>
        <v>126129.61599999999</v>
      </c>
      <c r="O50" s="351">
        <f>O51+O57+O59+O62+O64+O66+O68+O71+O74+O75</f>
        <v>132440.64472000001</v>
      </c>
      <c r="P50" s="321">
        <f>P51+P57+P59+P62+P64+P66+P68+P71+P74+P75</f>
        <v>132440.6452</v>
      </c>
      <c r="Q50" s="364">
        <v>0</v>
      </c>
      <c r="R50" s="304" t="str">
        <f t="shared" si="3"/>
        <v>Предоставление дополнительного образования детей в сфере физической культуры и спорта</v>
      </c>
      <c r="S50" s="292" t="str">
        <f t="shared" si="2"/>
        <v>х</v>
      </c>
      <c r="U50" s="329" t="s">
        <v>74</v>
      </c>
      <c r="V50" s="329" t="s">
        <v>731</v>
      </c>
      <c r="W50" s="329" t="s">
        <v>734</v>
      </c>
    </row>
    <row r="51" spans="2:23" ht="64.5" customHeight="1" x14ac:dyDescent="0.25">
      <c r="B51" s="1022" t="s">
        <v>64</v>
      </c>
      <c r="C51" s="1055" t="s">
        <v>557</v>
      </c>
      <c r="D51" s="1055">
        <v>801</v>
      </c>
      <c r="E51" s="1055" t="s">
        <v>379</v>
      </c>
      <c r="F51" s="1055" t="s">
        <v>200</v>
      </c>
      <c r="G51" s="296" t="s">
        <v>699</v>
      </c>
      <c r="H51" s="294" t="s">
        <v>701</v>
      </c>
      <c r="I51" s="67" t="s">
        <v>244</v>
      </c>
      <c r="J51" s="128">
        <v>43875</v>
      </c>
      <c r="K51" s="181" t="s">
        <v>363</v>
      </c>
      <c r="L51" s="129" t="s">
        <v>199</v>
      </c>
      <c r="M51" s="332">
        <f>N51+O51+P51</f>
        <v>92090.159350000002</v>
      </c>
      <c r="N51" s="1056">
        <v>30133.73402</v>
      </c>
      <c r="O51" s="1098">
        <v>30799.117600000001</v>
      </c>
      <c r="P51" s="1056">
        <v>31157.30773</v>
      </c>
      <c r="Q51" s="1060">
        <v>0</v>
      </c>
      <c r="R51" s="304" t="str">
        <f t="shared" si="3"/>
        <v>Реализация дополнительных общеразвивающих программ</v>
      </c>
      <c r="S51" s="292">
        <f t="shared" si="2"/>
        <v>43875</v>
      </c>
      <c r="U51" s="330">
        <f>J52+J61+J70</f>
        <v>2744</v>
      </c>
      <c r="V51" s="331">
        <f>J51+J57+J58+J59+J60+J62+J63+J64+J65+J66+J67+J68+J69+J71+J72+J74</f>
        <v>924110</v>
      </c>
      <c r="W51" s="331">
        <f>J53+J54+J55+J56+J73</f>
        <v>94</v>
      </c>
    </row>
    <row r="52" spans="2:23" ht="39" customHeight="1" x14ac:dyDescent="0.25">
      <c r="B52" s="1023"/>
      <c r="C52" s="1053"/>
      <c r="D52" s="1053"/>
      <c r="E52" s="1053"/>
      <c r="F52" s="1053"/>
      <c r="G52" s="295" t="s">
        <v>610</v>
      </c>
      <c r="H52" s="75" t="s">
        <v>461</v>
      </c>
      <c r="I52" s="67" t="s">
        <v>241</v>
      </c>
      <c r="J52" s="193">
        <v>2720</v>
      </c>
      <c r="K52" s="62" t="s">
        <v>363</v>
      </c>
      <c r="L52" s="65" t="s">
        <v>199</v>
      </c>
      <c r="M52" s="68"/>
      <c r="N52" s="1057"/>
      <c r="O52" s="1061"/>
      <c r="P52" s="1057"/>
      <c r="Q52" s="1048"/>
      <c r="R52" s="304" t="str">
        <f t="shared" si="3"/>
        <v>Доступ к объектам спорта</v>
      </c>
      <c r="S52" s="292">
        <f t="shared" si="2"/>
        <v>2720</v>
      </c>
      <c r="U52" s="37">
        <v>129157.88</v>
      </c>
      <c r="V52" s="51">
        <f>N50-U52</f>
        <v>-3028.2640000000101</v>
      </c>
    </row>
    <row r="53" spans="2:23" ht="51" customHeight="1" x14ac:dyDescent="0.25">
      <c r="B53" s="1023"/>
      <c r="C53" s="1053"/>
      <c r="D53" s="1053"/>
      <c r="E53" s="1053"/>
      <c r="F53" s="1053"/>
      <c r="G53" s="296" t="s">
        <v>287</v>
      </c>
      <c r="H53" s="75" t="s">
        <v>234</v>
      </c>
      <c r="I53" s="67" t="s">
        <v>393</v>
      </c>
      <c r="J53" s="193" t="s">
        <v>545</v>
      </c>
      <c r="K53" s="62" t="s">
        <v>363</v>
      </c>
      <c r="L53" s="65" t="s">
        <v>199</v>
      </c>
      <c r="M53" s="68"/>
      <c r="N53" s="1057"/>
      <c r="O53" s="1061"/>
      <c r="P53" s="1057"/>
      <c r="Q53" s="1048"/>
      <c r="R53" s="304" t="str">
        <f t="shared" si="3"/>
        <v xml:space="preserve">Организация и проведение официальных физкультурных (физкультурно- оздоровительных) мероприятий </v>
      </c>
      <c r="S53" s="292" t="str">
        <f t="shared" si="2"/>
        <v>4</v>
      </c>
    </row>
    <row r="54" spans="2:23" ht="123.75" customHeight="1" x14ac:dyDescent="0.25">
      <c r="B54" s="1023"/>
      <c r="C54" s="1053"/>
      <c r="D54" s="1053"/>
      <c r="E54" s="1053"/>
      <c r="F54" s="1053"/>
      <c r="G54" s="296" t="s">
        <v>709</v>
      </c>
      <c r="H54" s="75" t="s">
        <v>234</v>
      </c>
      <c r="I54" s="67" t="s">
        <v>393</v>
      </c>
      <c r="J54" s="193" t="s">
        <v>553</v>
      </c>
      <c r="K54" s="62" t="s">
        <v>363</v>
      </c>
      <c r="L54" s="65"/>
      <c r="M54" s="68"/>
      <c r="N54" s="1057"/>
      <c r="O54" s="1061"/>
      <c r="P54" s="1057"/>
      <c r="Q54" s="1048"/>
      <c r="R54" s="304" t="str">
        <f t="shared" si="3"/>
        <v>Организация и проведение физкультурных и спортивных мероприятий в рамках Всероссийского физкультурно-спортивного комплекса "Готов к труду и обороне" (ГТО) (за исключением тестирования выполнения нормативов испытаний комплекса ГТО)</v>
      </c>
      <c r="S54" s="292" t="str">
        <f t="shared" si="2"/>
        <v>8</v>
      </c>
    </row>
    <row r="55" spans="2:23" ht="51" customHeight="1" x14ac:dyDescent="0.25">
      <c r="B55" s="1023"/>
      <c r="C55" s="1053"/>
      <c r="D55" s="1053"/>
      <c r="E55" s="1053"/>
      <c r="F55" s="1053"/>
      <c r="G55" s="296" t="s">
        <v>710</v>
      </c>
      <c r="H55" s="75" t="s">
        <v>234</v>
      </c>
      <c r="I55" s="67" t="s">
        <v>393</v>
      </c>
      <c r="J55" s="193" t="s">
        <v>270</v>
      </c>
      <c r="K55" s="62" t="s">
        <v>363</v>
      </c>
      <c r="L55" s="65"/>
      <c r="M55" s="68"/>
      <c r="N55" s="1057"/>
      <c r="O55" s="1061"/>
      <c r="P55" s="1057"/>
      <c r="Q55" s="1048"/>
      <c r="R55" s="304" t="str">
        <f t="shared" si="3"/>
        <v>Проведение тестирования выполнения нормативов испытаний (тестов) комплекса ГТО</v>
      </c>
      <c r="S55" s="292" t="str">
        <f t="shared" si="2"/>
        <v>50</v>
      </c>
    </row>
    <row r="56" spans="2:23" ht="51" customHeight="1" thickBot="1" x14ac:dyDescent="0.3">
      <c r="B56" s="1051"/>
      <c r="C56" s="1054"/>
      <c r="D56" s="1054"/>
      <c r="E56" s="1054"/>
      <c r="F56" s="1054"/>
      <c r="G56" s="296" t="s">
        <v>708</v>
      </c>
      <c r="H56" s="75" t="s">
        <v>234</v>
      </c>
      <c r="I56" s="67" t="s">
        <v>393</v>
      </c>
      <c r="J56" s="193" t="s">
        <v>556</v>
      </c>
      <c r="K56" s="62" t="s">
        <v>363</v>
      </c>
      <c r="L56" s="65"/>
      <c r="M56" s="68"/>
      <c r="N56" s="1058"/>
      <c r="O56" s="1099"/>
      <c r="P56" s="1058"/>
      <c r="Q56" s="1049"/>
      <c r="R56" s="304" t="str">
        <f t="shared" si="3"/>
        <v>Организация и проведение официальных спортивных мероприятий</v>
      </c>
      <c r="S56" s="292" t="str">
        <f t="shared" si="2"/>
        <v>26</v>
      </c>
    </row>
    <row r="57" spans="2:23" ht="69" customHeight="1" x14ac:dyDescent="0.25">
      <c r="B57" s="1050" t="s">
        <v>64</v>
      </c>
      <c r="C57" s="1071" t="s">
        <v>557</v>
      </c>
      <c r="D57" s="1052">
        <v>801</v>
      </c>
      <c r="E57" s="1071">
        <v>27301848</v>
      </c>
      <c r="F57" s="1052" t="s">
        <v>380</v>
      </c>
      <c r="G57" s="296" t="s">
        <v>700</v>
      </c>
      <c r="H57" s="294" t="s">
        <v>702</v>
      </c>
      <c r="I57" s="67" t="s">
        <v>244</v>
      </c>
      <c r="J57" s="193" t="s">
        <v>704</v>
      </c>
      <c r="K57" s="62" t="s">
        <v>363</v>
      </c>
      <c r="L57" s="65" t="s">
        <v>199</v>
      </c>
      <c r="M57" s="68">
        <f>N57+O57+P57</f>
        <v>50211.961290000007</v>
      </c>
      <c r="N57" s="1059">
        <v>16594.312430000002</v>
      </c>
      <c r="O57" s="1061">
        <v>16783.622429999999</v>
      </c>
      <c r="P57" s="1059">
        <v>16834.026430000002</v>
      </c>
      <c r="Q57" s="1047">
        <v>0</v>
      </c>
      <c r="R57" s="305" t="str">
        <f t="shared" si="3"/>
        <v>Реализация дополнительных предпрофессиональных программ в области физической культуры и спорта</v>
      </c>
      <c r="S57" s="292" t="str">
        <f t="shared" si="2"/>
        <v>142140</v>
      </c>
    </row>
    <row r="58" spans="2:23" ht="49.5" customHeight="1" x14ac:dyDescent="0.25">
      <c r="B58" s="1051"/>
      <c r="C58" s="1072"/>
      <c r="D58" s="1054"/>
      <c r="E58" s="1072"/>
      <c r="F58" s="1054"/>
      <c r="G58" s="296" t="s">
        <v>699</v>
      </c>
      <c r="H58" s="294" t="s">
        <v>701</v>
      </c>
      <c r="I58" s="67" t="s">
        <v>244</v>
      </c>
      <c r="J58" s="193" t="s">
        <v>703</v>
      </c>
      <c r="K58" s="62" t="s">
        <v>363</v>
      </c>
      <c r="L58" s="65" t="s">
        <v>199</v>
      </c>
      <c r="M58" s="68"/>
      <c r="N58" s="1058"/>
      <c r="O58" s="1062"/>
      <c r="P58" s="1058"/>
      <c r="Q58" s="1049"/>
      <c r="R58" s="305" t="str">
        <f t="shared" si="3"/>
        <v>Реализация дополнительных общеразвивающих программ</v>
      </c>
      <c r="S58" s="292" t="str">
        <f t="shared" si="2"/>
        <v>8400</v>
      </c>
    </row>
    <row r="59" spans="2:23" ht="63" x14ac:dyDescent="0.25">
      <c r="B59" s="1050" t="s">
        <v>64</v>
      </c>
      <c r="C59" s="1052" t="s">
        <v>557</v>
      </c>
      <c r="D59" s="1052">
        <v>801</v>
      </c>
      <c r="E59" s="1052" t="s">
        <v>382</v>
      </c>
      <c r="F59" s="1052" t="s">
        <v>383</v>
      </c>
      <c r="G59" s="296" t="s">
        <v>700</v>
      </c>
      <c r="H59" s="294" t="s">
        <v>702</v>
      </c>
      <c r="I59" s="67" t="s">
        <v>244</v>
      </c>
      <c r="J59" s="193" t="s">
        <v>712</v>
      </c>
      <c r="K59" s="1050" t="s">
        <v>363</v>
      </c>
      <c r="L59" s="65" t="s">
        <v>199</v>
      </c>
      <c r="M59" s="68">
        <f>N59+O59+P59</f>
        <v>22899.571339999999</v>
      </c>
      <c r="N59" s="1059">
        <v>7348.5622199999998</v>
      </c>
      <c r="O59" s="1065">
        <v>7774.87709</v>
      </c>
      <c r="P59" s="1059">
        <v>7776.1320299999998</v>
      </c>
      <c r="Q59" s="1047">
        <v>0</v>
      </c>
      <c r="R59" s="304" t="str">
        <f t="shared" si="3"/>
        <v>Реализация дополнительных предпрофессиональных программ в области физической культуры и спорта</v>
      </c>
      <c r="S59" s="292" t="str">
        <f t="shared" si="2"/>
        <v>54572</v>
      </c>
    </row>
    <row r="60" spans="2:23" ht="63" x14ac:dyDescent="0.25">
      <c r="B60" s="1023"/>
      <c r="C60" s="1053"/>
      <c r="D60" s="1053"/>
      <c r="E60" s="1053"/>
      <c r="F60" s="1053"/>
      <c r="G60" s="296" t="s">
        <v>699</v>
      </c>
      <c r="H60" s="294" t="s">
        <v>701</v>
      </c>
      <c r="I60" s="67" t="s">
        <v>244</v>
      </c>
      <c r="J60" s="193" t="s">
        <v>711</v>
      </c>
      <c r="K60" s="1023"/>
      <c r="L60" s="65"/>
      <c r="M60" s="68"/>
      <c r="N60" s="1057"/>
      <c r="O60" s="1061"/>
      <c r="P60" s="1057"/>
      <c r="Q60" s="1048"/>
      <c r="R60" s="304" t="str">
        <f t="shared" si="3"/>
        <v>Реализация дополнительных общеразвивающих программ</v>
      </c>
      <c r="S60" s="292" t="str">
        <f t="shared" si="2"/>
        <v>20240</v>
      </c>
    </row>
    <row r="61" spans="2:23" ht="31.5" x14ac:dyDescent="0.25">
      <c r="B61" s="1051"/>
      <c r="C61" s="1054"/>
      <c r="D61" s="1054"/>
      <c r="E61" s="1054"/>
      <c r="F61" s="1054"/>
      <c r="G61" s="295" t="s">
        <v>286</v>
      </c>
      <c r="H61" s="293" t="s">
        <v>187</v>
      </c>
      <c r="I61" s="191" t="s">
        <v>241</v>
      </c>
      <c r="J61" s="193" t="s">
        <v>386</v>
      </c>
      <c r="K61" s="1051"/>
      <c r="L61" s="65"/>
      <c r="M61" s="68"/>
      <c r="N61" s="1058"/>
      <c r="O61" s="1062"/>
      <c r="P61" s="1058"/>
      <c r="Q61" s="1049"/>
      <c r="R61" s="304" t="str">
        <f t="shared" si="3"/>
        <v xml:space="preserve">Спортивная подготовка по олимпийским видам спорта </v>
      </c>
      <c r="S61" s="292" t="str">
        <f t="shared" si="2"/>
        <v>16</v>
      </c>
    </row>
    <row r="62" spans="2:23" ht="71.25" customHeight="1" x14ac:dyDescent="0.25">
      <c r="B62" s="1050" t="s">
        <v>64</v>
      </c>
      <c r="C62" s="1052" t="s">
        <v>557</v>
      </c>
      <c r="D62" s="1052">
        <v>801</v>
      </c>
      <c r="E62" s="1052">
        <v>27301837</v>
      </c>
      <c r="F62" s="1063" t="s">
        <v>628</v>
      </c>
      <c r="G62" s="296" t="s">
        <v>700</v>
      </c>
      <c r="H62" s="294" t="s">
        <v>702</v>
      </c>
      <c r="I62" s="67" t="s">
        <v>244</v>
      </c>
      <c r="J62" s="193" t="s">
        <v>717</v>
      </c>
      <c r="K62" s="62" t="s">
        <v>363</v>
      </c>
      <c r="L62" s="65" t="s">
        <v>199</v>
      </c>
      <c r="M62" s="68"/>
      <c r="N62" s="1059">
        <v>6704.5638200000003</v>
      </c>
      <c r="O62" s="1065">
        <v>6912.9538199999997</v>
      </c>
      <c r="P62" s="1059">
        <v>6912.9538199999997</v>
      </c>
      <c r="Q62" s="1047">
        <v>0</v>
      </c>
      <c r="R62" s="304" t="str">
        <f t="shared" si="3"/>
        <v>Реализация дополнительных предпрофессиональных программ в области физической культуры и спорта</v>
      </c>
      <c r="S62" s="292" t="str">
        <f t="shared" si="2"/>
        <v>70565</v>
      </c>
    </row>
    <row r="63" spans="2:23" ht="71.25" customHeight="1" x14ac:dyDescent="0.25">
      <c r="B63" s="1051"/>
      <c r="C63" s="1054"/>
      <c r="D63" s="1054"/>
      <c r="E63" s="1054"/>
      <c r="F63" s="1064"/>
      <c r="G63" s="296" t="s">
        <v>699</v>
      </c>
      <c r="H63" s="294" t="s">
        <v>701</v>
      </c>
      <c r="I63" s="67" t="s">
        <v>244</v>
      </c>
      <c r="J63" s="193" t="s">
        <v>705</v>
      </c>
      <c r="K63" s="62" t="s">
        <v>363</v>
      </c>
      <c r="L63" s="65"/>
      <c r="M63" s="68"/>
      <c r="N63" s="1058"/>
      <c r="O63" s="1062"/>
      <c r="P63" s="1058"/>
      <c r="Q63" s="1049"/>
      <c r="R63" s="304" t="str">
        <f>G63</f>
        <v>Реализация дополнительных общеразвивающих программ</v>
      </c>
      <c r="S63" s="292" t="str">
        <f>J63</f>
        <v>6808</v>
      </c>
    </row>
    <row r="64" spans="2:23" ht="84.75" customHeight="1" x14ac:dyDescent="0.25">
      <c r="B64" s="1050" t="s">
        <v>64</v>
      </c>
      <c r="C64" s="1052" t="s">
        <v>557</v>
      </c>
      <c r="D64" s="1052">
        <v>801</v>
      </c>
      <c r="E64" s="1052">
        <v>27302170</v>
      </c>
      <c r="F64" s="1052" t="s">
        <v>201</v>
      </c>
      <c r="G64" s="296" t="s">
        <v>700</v>
      </c>
      <c r="H64" s="294" t="s">
        <v>702</v>
      </c>
      <c r="I64" s="67" t="s">
        <v>244</v>
      </c>
      <c r="J64" s="193" t="s">
        <v>714</v>
      </c>
      <c r="K64" s="1050" t="s">
        <v>363</v>
      </c>
      <c r="L64" s="65" t="s">
        <v>199</v>
      </c>
      <c r="M64" s="68"/>
      <c r="N64" s="1059">
        <v>11637.502200000001</v>
      </c>
      <c r="O64" s="1065">
        <v>11745.10727</v>
      </c>
      <c r="P64" s="1059">
        <v>11758.985070000001</v>
      </c>
      <c r="Q64" s="1047">
        <v>0</v>
      </c>
      <c r="R64" s="304" t="str">
        <f t="shared" si="3"/>
        <v>Реализация дополнительных предпрофессиональных программ в области физической культуры и спорта</v>
      </c>
      <c r="S64" s="292" t="str">
        <f t="shared" si="2"/>
        <v>72512</v>
      </c>
    </row>
    <row r="65" spans="2:22" ht="84.75" customHeight="1" x14ac:dyDescent="0.25">
      <c r="B65" s="1051"/>
      <c r="C65" s="1054"/>
      <c r="D65" s="1054"/>
      <c r="E65" s="1054"/>
      <c r="F65" s="1054"/>
      <c r="G65" s="296" t="s">
        <v>699</v>
      </c>
      <c r="H65" s="294" t="s">
        <v>701</v>
      </c>
      <c r="I65" s="67" t="s">
        <v>244</v>
      </c>
      <c r="J65" s="193" t="s">
        <v>713</v>
      </c>
      <c r="K65" s="1051"/>
      <c r="L65" s="65"/>
      <c r="M65" s="68"/>
      <c r="N65" s="1058"/>
      <c r="O65" s="1062"/>
      <c r="P65" s="1058"/>
      <c r="Q65" s="1049"/>
      <c r="R65" s="304" t="str">
        <f>G65</f>
        <v>Реализация дополнительных общеразвивающих программ</v>
      </c>
      <c r="S65" s="292" t="str">
        <f>J65</f>
        <v>73392</v>
      </c>
    </row>
    <row r="66" spans="2:22" ht="63" x14ac:dyDescent="0.25">
      <c r="B66" s="1050" t="s">
        <v>64</v>
      </c>
      <c r="C66" s="1052" t="s">
        <v>557</v>
      </c>
      <c r="D66" s="1052">
        <v>801</v>
      </c>
      <c r="E66" s="1052">
        <v>27301830</v>
      </c>
      <c r="F66" s="1052" t="s">
        <v>458</v>
      </c>
      <c r="G66" s="296" t="s">
        <v>700</v>
      </c>
      <c r="H66" s="294" t="s">
        <v>702</v>
      </c>
      <c r="I66" s="67" t="s">
        <v>244</v>
      </c>
      <c r="J66" s="87">
        <v>124960</v>
      </c>
      <c r="K66" s="88" t="s">
        <v>363</v>
      </c>
      <c r="L66" s="65" t="s">
        <v>199</v>
      </c>
      <c r="M66" s="68"/>
      <c r="N66" s="1059">
        <v>12881.72738</v>
      </c>
      <c r="O66" s="1065">
        <v>12747.310820000001</v>
      </c>
      <c r="P66" s="1059">
        <v>12759.25152</v>
      </c>
      <c r="Q66" s="1047">
        <v>0</v>
      </c>
      <c r="R66" s="305" t="str">
        <f t="shared" si="3"/>
        <v>Реализация дополнительных предпрофессиональных программ в области физической культуры и спорта</v>
      </c>
      <c r="S66" s="292">
        <f t="shared" si="2"/>
        <v>124960</v>
      </c>
    </row>
    <row r="67" spans="2:22" ht="63" x14ac:dyDescent="0.25">
      <c r="B67" s="1051"/>
      <c r="C67" s="1054"/>
      <c r="D67" s="1054"/>
      <c r="E67" s="1054"/>
      <c r="F67" s="1054"/>
      <c r="G67" s="296" t="s">
        <v>699</v>
      </c>
      <c r="H67" s="294" t="s">
        <v>701</v>
      </c>
      <c r="I67" s="67" t="s">
        <v>244</v>
      </c>
      <c r="J67" s="87">
        <v>96692</v>
      </c>
      <c r="K67" s="88" t="s">
        <v>363</v>
      </c>
      <c r="L67" s="65"/>
      <c r="M67" s="68"/>
      <c r="N67" s="1058"/>
      <c r="O67" s="1062"/>
      <c r="P67" s="1058"/>
      <c r="Q67" s="1049"/>
      <c r="R67" s="305" t="str">
        <f t="shared" si="3"/>
        <v>Реализация дополнительных общеразвивающих программ</v>
      </c>
      <c r="S67" s="292">
        <f t="shared" si="2"/>
        <v>96692</v>
      </c>
    </row>
    <row r="68" spans="2:22" ht="68.25" customHeight="1" x14ac:dyDescent="0.25">
      <c r="B68" s="1050" t="s">
        <v>64</v>
      </c>
      <c r="C68" s="1052" t="s">
        <v>557</v>
      </c>
      <c r="D68" s="1052">
        <v>801</v>
      </c>
      <c r="E68" s="1052">
        <v>27301967</v>
      </c>
      <c r="F68" s="1052" t="s">
        <v>459</v>
      </c>
      <c r="G68" s="296" t="s">
        <v>700</v>
      </c>
      <c r="H68" s="294" t="s">
        <v>702</v>
      </c>
      <c r="I68" s="67" t="s">
        <v>244</v>
      </c>
      <c r="J68" s="297" t="s">
        <v>716</v>
      </c>
      <c r="K68" s="1050" t="s">
        <v>363</v>
      </c>
      <c r="L68" s="65" t="s">
        <v>199</v>
      </c>
      <c r="M68" s="68"/>
      <c r="N68" s="1059">
        <v>9179.2501400000001</v>
      </c>
      <c r="O68" s="1065">
        <v>9811.1854600000006</v>
      </c>
      <c r="P68" s="1059">
        <v>9824.3751499999998</v>
      </c>
      <c r="Q68" s="1047">
        <v>0</v>
      </c>
      <c r="R68" s="304" t="str">
        <f t="shared" si="3"/>
        <v>Реализация дополнительных предпрофессиональных программ в области физической культуры и спорта</v>
      </c>
      <c r="S68" s="292" t="str">
        <f t="shared" si="2"/>
        <v>51106</v>
      </c>
    </row>
    <row r="69" spans="2:22" ht="68.25" customHeight="1" x14ac:dyDescent="0.25">
      <c r="B69" s="1023"/>
      <c r="C69" s="1053"/>
      <c r="D69" s="1053"/>
      <c r="E69" s="1053"/>
      <c r="F69" s="1053"/>
      <c r="G69" s="296" t="s">
        <v>699</v>
      </c>
      <c r="H69" s="294" t="s">
        <v>701</v>
      </c>
      <c r="I69" s="67" t="s">
        <v>244</v>
      </c>
      <c r="J69" s="297" t="s">
        <v>715</v>
      </c>
      <c r="K69" s="1023"/>
      <c r="L69" s="65"/>
      <c r="M69" s="68"/>
      <c r="N69" s="1057"/>
      <c r="O69" s="1061"/>
      <c r="P69" s="1057"/>
      <c r="Q69" s="1048"/>
      <c r="R69" s="304" t="str">
        <f t="shared" si="3"/>
        <v>Реализация дополнительных общеразвивающих программ</v>
      </c>
      <c r="S69" s="292" t="str">
        <f t="shared" si="2"/>
        <v>20930</v>
      </c>
    </row>
    <row r="70" spans="2:22" ht="33" customHeight="1" x14ac:dyDescent="0.25">
      <c r="B70" s="1051"/>
      <c r="C70" s="1054"/>
      <c r="D70" s="1054"/>
      <c r="E70" s="1054"/>
      <c r="F70" s="1054"/>
      <c r="G70" s="295" t="s">
        <v>286</v>
      </c>
      <c r="H70" s="293" t="s">
        <v>187</v>
      </c>
      <c r="I70" s="191" t="s">
        <v>241</v>
      </c>
      <c r="J70" s="297" t="s">
        <v>553</v>
      </c>
      <c r="K70" s="1051"/>
      <c r="L70" s="65"/>
      <c r="M70" s="68"/>
      <c r="N70" s="1058"/>
      <c r="O70" s="1062"/>
      <c r="P70" s="1058"/>
      <c r="Q70" s="1049"/>
      <c r="R70" s="304" t="str">
        <f t="shared" si="3"/>
        <v xml:space="preserve">Спортивная подготовка по олимпийским видам спорта </v>
      </c>
      <c r="S70" s="292" t="str">
        <f t="shared" si="2"/>
        <v>8</v>
      </c>
    </row>
    <row r="71" spans="2:22" ht="41.25" customHeight="1" x14ac:dyDescent="0.25">
      <c r="B71" s="1050" t="s">
        <v>64</v>
      </c>
      <c r="C71" s="1071" t="s">
        <v>557</v>
      </c>
      <c r="D71" s="1052">
        <v>801</v>
      </c>
      <c r="E71" s="1071" t="s">
        <v>532</v>
      </c>
      <c r="F71" s="1052" t="s">
        <v>460</v>
      </c>
      <c r="G71" s="296" t="s">
        <v>286</v>
      </c>
      <c r="H71" s="75" t="s">
        <v>187</v>
      </c>
      <c r="I71" s="67" t="s">
        <v>244</v>
      </c>
      <c r="J71" s="193" t="s">
        <v>707</v>
      </c>
      <c r="K71" s="1050" t="s">
        <v>363</v>
      </c>
      <c r="L71" s="65" t="s">
        <v>199</v>
      </c>
      <c r="M71" s="68"/>
      <c r="N71" s="1059">
        <v>21542.722709999998</v>
      </c>
      <c r="O71" s="1065">
        <v>24414.287710000001</v>
      </c>
      <c r="P71" s="1059">
        <v>24414.287710000001</v>
      </c>
      <c r="Q71" s="1047">
        <v>0</v>
      </c>
      <c r="R71" s="304" t="str">
        <f t="shared" si="3"/>
        <v xml:space="preserve">Спортивная подготовка по олимпийским видам спорта </v>
      </c>
      <c r="S71" s="292" t="str">
        <f t="shared" si="2"/>
        <v>194</v>
      </c>
    </row>
    <row r="72" spans="2:22" ht="64.5" customHeight="1" x14ac:dyDescent="0.25">
      <c r="B72" s="1023"/>
      <c r="C72" s="1073"/>
      <c r="D72" s="1053"/>
      <c r="E72" s="1073"/>
      <c r="F72" s="1053"/>
      <c r="G72" s="296" t="s">
        <v>699</v>
      </c>
      <c r="H72" s="294" t="s">
        <v>701</v>
      </c>
      <c r="I72" s="67" t="s">
        <v>244</v>
      </c>
      <c r="J72" s="193" t="s">
        <v>706</v>
      </c>
      <c r="K72" s="1023"/>
      <c r="L72" s="65"/>
      <c r="M72" s="68"/>
      <c r="N72" s="1057"/>
      <c r="O72" s="1061"/>
      <c r="P72" s="1057"/>
      <c r="Q72" s="1048"/>
      <c r="R72" s="304" t="str">
        <f>G72</f>
        <v>Реализация дополнительных общеразвивающих программ</v>
      </c>
      <c r="S72" s="292" t="str">
        <f>J72</f>
        <v>57132</v>
      </c>
    </row>
    <row r="73" spans="2:22" ht="33.75" customHeight="1" x14ac:dyDescent="0.25">
      <c r="B73" s="1051"/>
      <c r="C73" s="1072"/>
      <c r="D73" s="1054"/>
      <c r="E73" s="1072"/>
      <c r="F73" s="1054"/>
      <c r="G73" s="296" t="s">
        <v>708</v>
      </c>
      <c r="H73" s="294" t="s">
        <v>234</v>
      </c>
      <c r="I73" s="67" t="s">
        <v>393</v>
      </c>
      <c r="J73" s="193" t="s">
        <v>372</v>
      </c>
      <c r="K73" s="1051"/>
      <c r="L73" s="65" t="s">
        <v>199</v>
      </c>
      <c r="M73" s="68"/>
      <c r="N73" s="1058"/>
      <c r="O73" s="1062"/>
      <c r="P73" s="1058"/>
      <c r="Q73" s="1049"/>
      <c r="R73" s="304" t="str">
        <f t="shared" si="3"/>
        <v>Организация и проведение официальных спортивных мероприятий</v>
      </c>
      <c r="S73" s="292" t="str">
        <f t="shared" si="2"/>
        <v>6</v>
      </c>
    </row>
    <row r="74" spans="2:22" ht="109.5" customHeight="1" thickBot="1" x14ac:dyDescent="0.3">
      <c r="B74" s="180" t="s">
        <v>64</v>
      </c>
      <c r="C74" s="185" t="s">
        <v>557</v>
      </c>
      <c r="D74" s="184">
        <v>801</v>
      </c>
      <c r="E74" s="185">
        <v>27302111</v>
      </c>
      <c r="F74" s="184" t="s">
        <v>463</v>
      </c>
      <c r="G74" s="296" t="s">
        <v>700</v>
      </c>
      <c r="H74" s="294" t="s">
        <v>702</v>
      </c>
      <c r="I74" s="67" t="s">
        <v>244</v>
      </c>
      <c r="J74" s="300">
        <v>80592</v>
      </c>
      <c r="K74" s="180" t="s">
        <v>363</v>
      </c>
      <c r="L74" s="83" t="s">
        <v>199</v>
      </c>
      <c r="M74" s="350"/>
      <c r="N74" s="315">
        <v>9528.7750799999994</v>
      </c>
      <c r="O74" s="314">
        <v>9645.6865199999993</v>
      </c>
      <c r="P74" s="315">
        <v>9655.7357400000001</v>
      </c>
      <c r="Q74" s="313">
        <v>0</v>
      </c>
      <c r="R74" s="304" t="str">
        <f t="shared" si="3"/>
        <v>Реализация дополнительных предпрофессиональных программ в области физической культуры и спорта</v>
      </c>
      <c r="S74" s="292">
        <f t="shared" si="2"/>
        <v>80592</v>
      </c>
    </row>
    <row r="75" spans="2:22" ht="65.25" customHeight="1" thickBot="1" x14ac:dyDescent="0.3">
      <c r="B75" s="130" t="s">
        <v>64</v>
      </c>
      <c r="C75" s="131" t="s">
        <v>557</v>
      </c>
      <c r="D75" s="125">
        <v>801</v>
      </c>
      <c r="E75" s="131">
        <v>27300364</v>
      </c>
      <c r="F75" s="125" t="s">
        <v>192</v>
      </c>
      <c r="G75" s="150" t="str">
        <f>G74</f>
        <v>Реализация дополнительных предпрофессиональных программ в области физической культуры и спорта</v>
      </c>
      <c r="H75" s="151" t="s">
        <v>381</v>
      </c>
      <c r="I75" s="131" t="s">
        <v>244</v>
      </c>
      <c r="J75" s="134" t="s">
        <v>468</v>
      </c>
      <c r="K75" s="130" t="s">
        <v>363</v>
      </c>
      <c r="L75" s="135"/>
      <c r="M75" s="387"/>
      <c r="N75" s="236">
        <f>262.24076+316.22524</f>
        <v>578.46600000000001</v>
      </c>
      <c r="O75" s="323">
        <f>987.207+819.289</f>
        <v>1806.4960000000001</v>
      </c>
      <c r="P75" s="236">
        <f>950.091+397.499</f>
        <v>1347.5900000000001</v>
      </c>
      <c r="Q75" s="77">
        <v>0</v>
      </c>
      <c r="R75" s="304" t="str">
        <f t="shared" si="3"/>
        <v>Реализация дополнительных предпрофессиональных программ в области физической культуры и спорта</v>
      </c>
      <c r="S75" s="292" t="str">
        <f t="shared" si="2"/>
        <v>0</v>
      </c>
    </row>
    <row r="76" spans="2:22" ht="53.25" customHeight="1" thickBot="1" x14ac:dyDescent="0.3">
      <c r="B76" s="239" t="s">
        <v>64</v>
      </c>
      <c r="C76" s="240" t="s">
        <v>291</v>
      </c>
      <c r="D76" s="241" t="s">
        <v>116</v>
      </c>
      <c r="E76" s="240" t="s">
        <v>116</v>
      </c>
      <c r="F76" s="241" t="s">
        <v>116</v>
      </c>
      <c r="G76" s="242" t="s">
        <v>77</v>
      </c>
      <c r="H76" s="241" t="s">
        <v>116</v>
      </c>
      <c r="I76" s="243" t="s">
        <v>116</v>
      </c>
      <c r="J76" s="244" t="s">
        <v>116</v>
      </c>
      <c r="K76" s="239" t="s">
        <v>363</v>
      </c>
      <c r="L76" s="245" t="s">
        <v>199</v>
      </c>
      <c r="M76" s="388">
        <f>N76+O76+P76</f>
        <v>243145.99351999999</v>
      </c>
      <c r="N76" s="321">
        <v>107976.27352</v>
      </c>
      <c r="O76" s="351">
        <f>O97+O98+O99+O100+O101</f>
        <v>107479.31</v>
      </c>
      <c r="P76" s="321">
        <f>P97+P98+P99+P100+P101</f>
        <v>27690.41</v>
      </c>
      <c r="Q76" s="322">
        <v>0</v>
      </c>
      <c r="R76" s="304" t="str">
        <f t="shared" si="3"/>
        <v>Субсидии в целях осуществления мероприятий по содержанию муниципального имущества</v>
      </c>
      <c r="S76" s="292" t="str">
        <f t="shared" si="2"/>
        <v>х</v>
      </c>
      <c r="U76" s="195">
        <v>38513.550000000003</v>
      </c>
      <c r="V76" s="51">
        <f>N76-U76</f>
        <v>69462.72352</v>
      </c>
    </row>
    <row r="77" spans="2:22" ht="56.25" customHeight="1" x14ac:dyDescent="0.25">
      <c r="B77" s="181" t="s">
        <v>64</v>
      </c>
      <c r="C77" s="186" t="s">
        <v>291</v>
      </c>
      <c r="D77" s="183">
        <v>801</v>
      </c>
      <c r="E77" s="186" t="s">
        <v>379</v>
      </c>
      <c r="F77" s="183" t="s">
        <v>429</v>
      </c>
      <c r="G77" s="126" t="s">
        <v>623</v>
      </c>
      <c r="H77" s="127" t="s">
        <v>681</v>
      </c>
      <c r="I77" s="188" t="s">
        <v>240</v>
      </c>
      <c r="J77" s="128" t="s">
        <v>565</v>
      </c>
      <c r="K77" s="181" t="s">
        <v>363</v>
      </c>
      <c r="L77" s="129" t="s">
        <v>199</v>
      </c>
      <c r="M77" s="332">
        <f>N77+O77+P77</f>
        <v>2038.54</v>
      </c>
      <c r="N77" s="270">
        <v>2038.54</v>
      </c>
      <c r="O77" s="352">
        <v>0</v>
      </c>
      <c r="P77" s="376">
        <v>0</v>
      </c>
      <c r="Q77" s="365"/>
      <c r="R77" s="304" t="str">
        <f t="shared" si="3"/>
        <v>Устройство и замена ограждения, ремонт помещений</v>
      </c>
      <c r="S77" s="292" t="str">
        <f t="shared" si="2"/>
        <v>1/1</v>
      </c>
      <c r="U77" s="50">
        <f>O97+O98+O99+O100+O101</f>
        <v>107479.31</v>
      </c>
    </row>
    <row r="78" spans="2:22" ht="56.25" customHeight="1" x14ac:dyDescent="0.25">
      <c r="B78" s="181" t="s">
        <v>64</v>
      </c>
      <c r="C78" s="186" t="s">
        <v>291</v>
      </c>
      <c r="D78" s="183">
        <v>801</v>
      </c>
      <c r="E78" s="186" t="s">
        <v>379</v>
      </c>
      <c r="F78" s="183" t="s">
        <v>429</v>
      </c>
      <c r="G78" s="126" t="s">
        <v>632</v>
      </c>
      <c r="H78" s="127" t="s">
        <v>633</v>
      </c>
      <c r="I78" s="188" t="s">
        <v>240</v>
      </c>
      <c r="J78" s="128" t="s">
        <v>374</v>
      </c>
      <c r="K78" s="181" t="s">
        <v>363</v>
      </c>
      <c r="L78" s="129"/>
      <c r="M78" s="332"/>
      <c r="N78" s="270">
        <v>100</v>
      </c>
      <c r="O78" s="353">
        <v>0</v>
      </c>
      <c r="P78" s="377">
        <v>0</v>
      </c>
      <c r="Q78" s="272"/>
      <c r="R78" s="304" t="str">
        <f t="shared" si="3"/>
        <v>Обследование трещин в теплопункте и вентиляционной камере</v>
      </c>
      <c r="S78" s="292" t="str">
        <f t="shared" si="2"/>
        <v>2</v>
      </c>
    </row>
    <row r="79" spans="2:22" ht="57.75" customHeight="1" x14ac:dyDescent="0.25">
      <c r="B79" s="62" t="s">
        <v>64</v>
      </c>
      <c r="C79" s="67" t="s">
        <v>291</v>
      </c>
      <c r="D79" s="190">
        <v>801</v>
      </c>
      <c r="E79" s="67" t="s">
        <v>379</v>
      </c>
      <c r="F79" s="190" t="s">
        <v>429</v>
      </c>
      <c r="G79" s="70" t="s">
        <v>431</v>
      </c>
      <c r="H79" s="75" t="s">
        <v>432</v>
      </c>
      <c r="I79" s="191" t="s">
        <v>240</v>
      </c>
      <c r="J79" s="193">
        <v>1</v>
      </c>
      <c r="K79" s="62" t="s">
        <v>363</v>
      </c>
      <c r="L79" s="65" t="s">
        <v>199</v>
      </c>
      <c r="M79" s="68">
        <f t="shared" ref="M79:M88" si="4">N79+O79+P79</f>
        <v>15405.21</v>
      </c>
      <c r="N79" s="236">
        <v>15405.21</v>
      </c>
      <c r="O79" s="353">
        <v>0</v>
      </c>
      <c r="P79" s="377">
        <v>0</v>
      </c>
      <c r="Q79" s="272"/>
      <c r="R79" s="304" t="str">
        <f t="shared" si="3"/>
        <v>Капитальный ремонт системы вентиляции помещения бассейна</v>
      </c>
      <c r="S79" s="292">
        <f t="shared" si="2"/>
        <v>1</v>
      </c>
    </row>
    <row r="80" spans="2:22" ht="47.25" x14ac:dyDescent="0.25">
      <c r="B80" s="62" t="s">
        <v>64</v>
      </c>
      <c r="C80" s="67" t="s">
        <v>291</v>
      </c>
      <c r="D80" s="190">
        <v>801</v>
      </c>
      <c r="E80" s="67" t="s">
        <v>379</v>
      </c>
      <c r="F80" s="190" t="s">
        <v>429</v>
      </c>
      <c r="G80" s="70" t="s">
        <v>506</v>
      </c>
      <c r="H80" s="75" t="s">
        <v>433</v>
      </c>
      <c r="I80" s="191" t="s">
        <v>240</v>
      </c>
      <c r="J80" s="193">
        <v>1</v>
      </c>
      <c r="K80" s="62" t="s">
        <v>363</v>
      </c>
      <c r="L80" s="65" t="s">
        <v>199</v>
      </c>
      <c r="M80" s="68">
        <f t="shared" si="4"/>
        <v>2012.53</v>
      </c>
      <c r="N80" s="236">
        <v>2012.53</v>
      </c>
      <c r="O80" s="353">
        <v>0</v>
      </c>
      <c r="P80" s="377">
        <v>0</v>
      </c>
      <c r="Q80" s="272"/>
      <c r="R80" s="304" t="str">
        <f t="shared" si="3"/>
        <v>Капитальный ремонт теплового пункта</v>
      </c>
      <c r="S80" s="292">
        <f t="shared" si="2"/>
        <v>1</v>
      </c>
    </row>
    <row r="81" spans="2:22" ht="47.25" x14ac:dyDescent="0.25">
      <c r="B81" s="62" t="s">
        <v>64</v>
      </c>
      <c r="C81" s="67" t="s">
        <v>291</v>
      </c>
      <c r="D81" s="190">
        <v>801</v>
      </c>
      <c r="E81" s="67" t="s">
        <v>379</v>
      </c>
      <c r="F81" s="190" t="s">
        <v>429</v>
      </c>
      <c r="G81" s="70" t="s">
        <v>624</v>
      </c>
      <c r="H81" s="75" t="s">
        <v>435</v>
      </c>
      <c r="I81" s="191" t="s">
        <v>240</v>
      </c>
      <c r="J81" s="193">
        <v>2</v>
      </c>
      <c r="K81" s="62" t="s">
        <v>363</v>
      </c>
      <c r="L81" s="65" t="s">
        <v>199</v>
      </c>
      <c r="M81" s="68">
        <f t="shared" si="4"/>
        <v>295</v>
      </c>
      <c r="N81" s="236">
        <v>295</v>
      </c>
      <c r="O81" s="353">
        <v>0</v>
      </c>
      <c r="P81" s="377">
        <v>0</v>
      </c>
      <c r="Q81" s="272"/>
      <c r="R81" s="304" t="str">
        <f t="shared" si="3"/>
        <v>Разработка расчета пожарных рисков</v>
      </c>
      <c r="S81" s="292">
        <f t="shared" si="2"/>
        <v>2</v>
      </c>
    </row>
    <row r="82" spans="2:22" ht="47.25" x14ac:dyDescent="0.25">
      <c r="B82" s="62" t="s">
        <v>64</v>
      </c>
      <c r="C82" s="67" t="s">
        <v>291</v>
      </c>
      <c r="D82" s="190">
        <v>801</v>
      </c>
      <c r="E82" s="67" t="s">
        <v>379</v>
      </c>
      <c r="F82" s="190" t="s">
        <v>429</v>
      </c>
      <c r="G82" s="70" t="s">
        <v>464</v>
      </c>
      <c r="H82" s="75" t="s">
        <v>436</v>
      </c>
      <c r="I82" s="191" t="s">
        <v>240</v>
      </c>
      <c r="J82" s="193">
        <v>10</v>
      </c>
      <c r="K82" s="62" t="s">
        <v>363</v>
      </c>
      <c r="L82" s="65" t="s">
        <v>199</v>
      </c>
      <c r="M82" s="68">
        <f t="shared" si="4"/>
        <v>598.58000000000004</v>
      </c>
      <c r="N82" s="236">
        <v>598.58000000000004</v>
      </c>
      <c r="O82" s="353">
        <v>0</v>
      </c>
      <c r="P82" s="377">
        <v>0</v>
      </c>
      <c r="Q82" s="272"/>
      <c r="R82" s="304" t="str">
        <f t="shared" si="3"/>
        <v>Установка противопожарных дверей, разборка сараев, монтаж системы АПС</v>
      </c>
      <c r="S82" s="292">
        <f t="shared" si="2"/>
        <v>10</v>
      </c>
    </row>
    <row r="83" spans="2:22" ht="72.75" customHeight="1" x14ac:dyDescent="0.25">
      <c r="B83" s="62" t="s">
        <v>64</v>
      </c>
      <c r="C83" s="67" t="s">
        <v>291</v>
      </c>
      <c r="D83" s="190">
        <v>801</v>
      </c>
      <c r="E83" s="67" t="s">
        <v>379</v>
      </c>
      <c r="F83" s="190" t="s">
        <v>429</v>
      </c>
      <c r="G83" s="70" t="s">
        <v>521</v>
      </c>
      <c r="H83" s="75" t="s">
        <v>522</v>
      </c>
      <c r="I83" s="191" t="s">
        <v>479</v>
      </c>
      <c r="J83" s="193" t="s">
        <v>523</v>
      </c>
      <c r="K83" s="62" t="s">
        <v>363</v>
      </c>
      <c r="L83" s="65"/>
      <c r="M83" s="68">
        <f t="shared" si="4"/>
        <v>3202.712</v>
      </c>
      <c r="N83" s="236">
        <v>3202.712</v>
      </c>
      <c r="O83" s="353">
        <v>0</v>
      </c>
      <c r="P83" s="377">
        <v>0</v>
      </c>
      <c r="Q83" s="272"/>
      <c r="R83" s="304" t="str">
        <f t="shared" si="3"/>
        <v>Ремонт покрытия автопарковки, разработка концептуального архитектурного проекта, проектно- сметной документации на благоустройство территории</v>
      </c>
      <c r="S83" s="292" t="str">
        <f t="shared" si="2"/>
        <v>2575/2</v>
      </c>
    </row>
    <row r="84" spans="2:22" ht="58.5" customHeight="1" x14ac:dyDescent="0.25">
      <c r="B84" s="62" t="s">
        <v>64</v>
      </c>
      <c r="C84" s="67" t="s">
        <v>291</v>
      </c>
      <c r="D84" s="190">
        <v>801</v>
      </c>
      <c r="E84" s="67" t="s">
        <v>379</v>
      </c>
      <c r="F84" s="190" t="s">
        <v>429</v>
      </c>
      <c r="G84" s="70" t="s">
        <v>634</v>
      </c>
      <c r="H84" s="75" t="s">
        <v>435</v>
      </c>
      <c r="I84" s="191" t="s">
        <v>240</v>
      </c>
      <c r="J84" s="193" t="s">
        <v>263</v>
      </c>
      <c r="K84" s="62" t="s">
        <v>363</v>
      </c>
      <c r="L84" s="65"/>
      <c r="M84" s="68">
        <f t="shared" si="4"/>
        <v>3500</v>
      </c>
      <c r="N84" s="236">
        <v>3500</v>
      </c>
      <c r="O84" s="353">
        <v>0</v>
      </c>
      <c r="P84" s="377">
        <v>0</v>
      </c>
      <c r="Q84" s="272">
        <v>0</v>
      </c>
      <c r="R84" s="304" t="str">
        <f t="shared" si="3"/>
        <v>Разработка ПСД на капитальный ремонт фасада и крыши здания легкоатлетического манежа</v>
      </c>
      <c r="S84" s="292" t="str">
        <f t="shared" si="2"/>
        <v>1</v>
      </c>
    </row>
    <row r="85" spans="2:22" ht="90" customHeight="1" x14ac:dyDescent="0.25">
      <c r="B85" s="62" t="s">
        <v>64</v>
      </c>
      <c r="C85" s="67" t="s">
        <v>291</v>
      </c>
      <c r="D85" s="190">
        <v>801</v>
      </c>
      <c r="E85" s="67">
        <v>27301848</v>
      </c>
      <c r="F85" s="190" t="s">
        <v>204</v>
      </c>
      <c r="G85" s="70" t="s">
        <v>437</v>
      </c>
      <c r="H85" s="75" t="s">
        <v>438</v>
      </c>
      <c r="I85" s="191" t="s">
        <v>240</v>
      </c>
      <c r="J85" s="193">
        <v>3</v>
      </c>
      <c r="K85" s="62" t="s">
        <v>363</v>
      </c>
      <c r="L85" s="65" t="s">
        <v>199</v>
      </c>
      <c r="M85" s="68">
        <f t="shared" si="4"/>
        <v>2567.63</v>
      </c>
      <c r="N85" s="236">
        <v>2567.63</v>
      </c>
      <c r="O85" s="353">
        <v>0</v>
      </c>
      <c r="P85" s="377">
        <v>0</v>
      </c>
      <c r="Q85" s="272"/>
      <c r="R85" s="304" t="str">
        <f t="shared" si="3"/>
        <v>Разработка проектно-сметной документации на электромонтажные работы в спортивном зале, ремонт спортивного зала, электромонтажные работы</v>
      </c>
      <c r="S85" s="292">
        <f t="shared" si="2"/>
        <v>3</v>
      </c>
    </row>
    <row r="86" spans="2:22" ht="85.5" customHeight="1" x14ac:dyDescent="0.25">
      <c r="B86" s="62" t="s">
        <v>64</v>
      </c>
      <c r="C86" s="67" t="s">
        <v>291</v>
      </c>
      <c r="D86" s="190">
        <v>801</v>
      </c>
      <c r="E86" s="67">
        <v>27301848</v>
      </c>
      <c r="F86" s="190" t="s">
        <v>204</v>
      </c>
      <c r="G86" s="70" t="s">
        <v>562</v>
      </c>
      <c r="H86" s="75" t="s">
        <v>435</v>
      </c>
      <c r="I86" s="191" t="s">
        <v>240</v>
      </c>
      <c r="J86" s="193">
        <v>1</v>
      </c>
      <c r="K86" s="62" t="s">
        <v>363</v>
      </c>
      <c r="L86" s="65" t="s">
        <v>199</v>
      </c>
      <c r="M86" s="68">
        <f t="shared" si="4"/>
        <v>123.5</v>
      </c>
      <c r="N86" s="236">
        <v>123.5</v>
      </c>
      <c r="O86" s="353">
        <v>0</v>
      </c>
      <c r="P86" s="377">
        <v>0</v>
      </c>
      <c r="Q86" s="272"/>
      <c r="R86" s="304" t="str">
        <f t="shared" si="3"/>
        <v>Обследование технического состояния несущих конструкций здания</v>
      </c>
      <c r="S86" s="292">
        <f t="shared" si="2"/>
        <v>1</v>
      </c>
    </row>
    <row r="87" spans="2:22" ht="87" customHeight="1" x14ac:dyDescent="0.25">
      <c r="B87" s="62" t="s">
        <v>64</v>
      </c>
      <c r="C87" s="67" t="s">
        <v>291</v>
      </c>
      <c r="D87" s="190">
        <v>801</v>
      </c>
      <c r="E87" s="67">
        <v>27301848</v>
      </c>
      <c r="F87" s="190" t="s">
        <v>204</v>
      </c>
      <c r="G87" s="70" t="s">
        <v>494</v>
      </c>
      <c r="H87" s="75" t="s">
        <v>480</v>
      </c>
      <c r="I87" s="89" t="s">
        <v>240</v>
      </c>
      <c r="J87" s="193">
        <v>11</v>
      </c>
      <c r="K87" s="62" t="s">
        <v>363</v>
      </c>
      <c r="L87" s="65"/>
      <c r="M87" s="68">
        <f t="shared" si="4"/>
        <v>149</v>
      </c>
      <c r="N87" s="236">
        <v>149</v>
      </c>
      <c r="O87" s="353">
        <v>0</v>
      </c>
      <c r="P87" s="377">
        <v>0</v>
      </c>
      <c r="Q87" s="272"/>
      <c r="R87" s="304" t="str">
        <f t="shared" si="3"/>
        <v>Вырубка и вырезка зеленых насаждений</v>
      </c>
      <c r="S87" s="292">
        <f t="shared" si="2"/>
        <v>11</v>
      </c>
    </row>
    <row r="88" spans="2:22" ht="85.5" customHeight="1" x14ac:dyDescent="0.25">
      <c r="B88" s="62" t="s">
        <v>64</v>
      </c>
      <c r="C88" s="67" t="s">
        <v>291</v>
      </c>
      <c r="D88" s="190">
        <v>801</v>
      </c>
      <c r="E88" s="67">
        <v>27301848</v>
      </c>
      <c r="F88" s="190" t="s">
        <v>204</v>
      </c>
      <c r="G88" s="70" t="s">
        <v>487</v>
      </c>
      <c r="H88" s="75" t="s">
        <v>488</v>
      </c>
      <c r="I88" s="89" t="s">
        <v>240</v>
      </c>
      <c r="J88" s="193">
        <v>2</v>
      </c>
      <c r="K88" s="62" t="s">
        <v>363</v>
      </c>
      <c r="L88" s="65"/>
      <c r="M88" s="68">
        <f t="shared" si="4"/>
        <v>695.3</v>
      </c>
      <c r="N88" s="236">
        <v>695.3</v>
      </c>
      <c r="O88" s="353">
        <v>0</v>
      </c>
      <c r="P88" s="377">
        <v>0</v>
      </c>
      <c r="Q88" s="272"/>
      <c r="R88" s="304" t="str">
        <f t="shared" si="3"/>
        <v>Разработка ПСД, капитальный ремонт теплового пункта</v>
      </c>
      <c r="S88" s="292">
        <f t="shared" si="2"/>
        <v>2</v>
      </c>
    </row>
    <row r="89" spans="2:22" ht="78.75" x14ac:dyDescent="0.25">
      <c r="B89" s="62" t="s">
        <v>64</v>
      </c>
      <c r="C89" s="67" t="s">
        <v>291</v>
      </c>
      <c r="D89" s="190">
        <v>801</v>
      </c>
      <c r="E89" s="67">
        <v>27301848</v>
      </c>
      <c r="F89" s="190" t="s">
        <v>204</v>
      </c>
      <c r="G89" s="70" t="s">
        <v>495</v>
      </c>
      <c r="H89" s="75" t="s">
        <v>388</v>
      </c>
      <c r="I89" s="191" t="s">
        <v>240</v>
      </c>
      <c r="J89" s="193">
        <v>1</v>
      </c>
      <c r="K89" s="62" t="s">
        <v>363</v>
      </c>
      <c r="L89" s="65"/>
      <c r="M89" s="68"/>
      <c r="N89" s="236">
        <v>2386.3200000000002</v>
      </c>
      <c r="O89" s="353">
        <v>0</v>
      </c>
      <c r="P89" s="377">
        <v>0</v>
      </c>
      <c r="Q89" s="272"/>
      <c r="R89" s="304" t="str">
        <f t="shared" si="3"/>
        <v xml:space="preserve">Перенос, устройство ограждения </v>
      </c>
      <c r="S89" s="292">
        <f t="shared" si="2"/>
        <v>1</v>
      </c>
    </row>
    <row r="90" spans="2:22" ht="78.75" x14ac:dyDescent="0.25">
      <c r="B90" s="62" t="s">
        <v>64</v>
      </c>
      <c r="C90" s="67" t="s">
        <v>291</v>
      </c>
      <c r="D90" s="190">
        <v>801</v>
      </c>
      <c r="E90" s="67">
        <v>27301848</v>
      </c>
      <c r="F90" s="190" t="s">
        <v>204</v>
      </c>
      <c r="G90" s="70" t="s">
        <v>534</v>
      </c>
      <c r="H90" s="75" t="s">
        <v>435</v>
      </c>
      <c r="I90" s="191" t="s">
        <v>240</v>
      </c>
      <c r="J90" s="193" t="s">
        <v>374</v>
      </c>
      <c r="K90" s="62" t="s">
        <v>363</v>
      </c>
      <c r="L90" s="65"/>
      <c r="M90" s="68"/>
      <c r="N90" s="236">
        <v>520</v>
      </c>
      <c r="O90" s="353">
        <v>0</v>
      </c>
      <c r="P90" s="377">
        <v>0</v>
      </c>
      <c r="Q90" s="272"/>
      <c r="R90" s="304" t="str">
        <f t="shared" si="3"/>
        <v>Инженерно-геодезические изыскания участка, разработка ПСД на наружное освещение и видеонаблюдение</v>
      </c>
      <c r="S90" s="292" t="str">
        <f t="shared" si="2"/>
        <v>2</v>
      </c>
    </row>
    <row r="91" spans="2:22" ht="102" customHeight="1" x14ac:dyDescent="0.25">
      <c r="B91" s="62" t="s">
        <v>64</v>
      </c>
      <c r="C91" s="67" t="s">
        <v>291</v>
      </c>
      <c r="D91" s="190">
        <v>801</v>
      </c>
      <c r="E91" s="67">
        <v>27302170</v>
      </c>
      <c r="F91" s="190" t="s">
        <v>575</v>
      </c>
      <c r="G91" s="70" t="s">
        <v>524</v>
      </c>
      <c r="H91" s="75" t="s">
        <v>440</v>
      </c>
      <c r="I91" s="191" t="s">
        <v>240</v>
      </c>
      <c r="J91" s="193">
        <v>8</v>
      </c>
      <c r="K91" s="62" t="s">
        <v>363</v>
      </c>
      <c r="L91" s="65" t="s">
        <v>199</v>
      </c>
      <c r="M91" s="68">
        <f>N91+O91+P91</f>
        <v>1000</v>
      </c>
      <c r="N91" s="236">
        <v>1000</v>
      </c>
      <c r="O91" s="353">
        <v>0</v>
      </c>
      <c r="P91" s="377">
        <v>0</v>
      </c>
      <c r="Q91" s="272"/>
      <c r="R91" s="304" t="str">
        <f t="shared" si="3"/>
        <v>Разработка проектно-сметной документации на капитальный ремонт системы внутреннего электроснабжения помещений, капитальный ремонт спортивного зала, помещений, системы внутреннего электроснабжения помещений</v>
      </c>
      <c r="S91" s="292">
        <f t="shared" si="2"/>
        <v>8</v>
      </c>
    </row>
    <row r="92" spans="2:22" ht="102" customHeight="1" x14ac:dyDescent="0.25">
      <c r="B92" s="62" t="s">
        <v>64</v>
      </c>
      <c r="C92" s="67" t="s">
        <v>291</v>
      </c>
      <c r="D92" s="190">
        <v>801</v>
      </c>
      <c r="E92" s="67">
        <v>27302170</v>
      </c>
      <c r="F92" s="190" t="s">
        <v>575</v>
      </c>
      <c r="G92" s="70" t="s">
        <v>564</v>
      </c>
      <c r="H92" s="75" t="s">
        <v>563</v>
      </c>
      <c r="I92" s="191" t="s">
        <v>240</v>
      </c>
      <c r="J92" s="193" t="s">
        <v>565</v>
      </c>
      <c r="K92" s="62" t="s">
        <v>363</v>
      </c>
      <c r="L92" s="65"/>
      <c r="M92" s="68"/>
      <c r="N92" s="236">
        <v>334.25900000000001</v>
      </c>
      <c r="O92" s="354">
        <v>0</v>
      </c>
      <c r="P92" s="378">
        <v>0</v>
      </c>
      <c r="Q92" s="272"/>
      <c r="R92" s="304" t="str">
        <f t="shared" si="3"/>
        <v>Разработка ПСД на устройство вентиляции, устройство системы вентиляции</v>
      </c>
      <c r="S92" s="292" t="str">
        <f t="shared" si="2"/>
        <v>1/1</v>
      </c>
    </row>
    <row r="93" spans="2:22" ht="94.5" x14ac:dyDescent="0.25">
      <c r="B93" s="62" t="s">
        <v>64</v>
      </c>
      <c r="C93" s="67" t="s">
        <v>291</v>
      </c>
      <c r="D93" s="190">
        <v>801</v>
      </c>
      <c r="E93" s="67">
        <v>27302111</v>
      </c>
      <c r="F93" s="190" t="s">
        <v>504</v>
      </c>
      <c r="G93" s="70" t="s">
        <v>477</v>
      </c>
      <c r="H93" s="75" t="s">
        <v>478</v>
      </c>
      <c r="I93" s="191" t="s">
        <v>240</v>
      </c>
      <c r="J93" s="193">
        <v>2</v>
      </c>
      <c r="K93" s="62" t="s">
        <v>363</v>
      </c>
      <c r="L93" s="65"/>
      <c r="M93" s="68">
        <f>N93+O93+P93</f>
        <v>170.82</v>
      </c>
      <c r="N93" s="236">
        <v>170.82</v>
      </c>
      <c r="O93" s="353">
        <v>0</v>
      </c>
      <c r="P93" s="377">
        <v>0</v>
      </c>
      <c r="Q93" s="272"/>
      <c r="R93" s="304" t="str">
        <f t="shared" si="3"/>
        <v>Разработка ПСД на электромонтажные работы, монтаж системы видеонаблюдения</v>
      </c>
      <c r="S93" s="292">
        <f t="shared" si="2"/>
        <v>2</v>
      </c>
    </row>
    <row r="94" spans="2:22" ht="96.75" customHeight="1" x14ac:dyDescent="0.25">
      <c r="B94" s="62" t="s">
        <v>64</v>
      </c>
      <c r="C94" s="67" t="s">
        <v>291</v>
      </c>
      <c r="D94" s="190">
        <v>801</v>
      </c>
      <c r="E94" s="67">
        <v>27302111</v>
      </c>
      <c r="F94" s="190" t="s">
        <v>504</v>
      </c>
      <c r="G94" s="70" t="s">
        <v>430</v>
      </c>
      <c r="H94" s="75" t="s">
        <v>571</v>
      </c>
      <c r="I94" s="191" t="s">
        <v>569</v>
      </c>
      <c r="J94" s="193" t="s">
        <v>570</v>
      </c>
      <c r="K94" s="62" t="s">
        <v>363</v>
      </c>
      <c r="L94" s="65"/>
      <c r="M94" s="68"/>
      <c r="N94" s="236">
        <f>1878.8-476.6344</f>
        <v>1402.1655999999998</v>
      </c>
      <c r="O94" s="354">
        <v>0</v>
      </c>
      <c r="P94" s="378">
        <v>0</v>
      </c>
      <c r="Q94" s="272"/>
      <c r="R94" s="304" t="str">
        <f t="shared" si="3"/>
        <v xml:space="preserve">Устройство и замена ограждения </v>
      </c>
      <c r="S94" s="292" t="str">
        <f t="shared" si="2"/>
        <v>207</v>
      </c>
      <c r="U94" s="37" t="s">
        <v>679</v>
      </c>
      <c r="V94" s="37">
        <v>1878.8</v>
      </c>
    </row>
    <row r="95" spans="2:22" ht="96.75" customHeight="1" x14ac:dyDescent="0.25">
      <c r="B95" s="62" t="s">
        <v>64</v>
      </c>
      <c r="C95" s="67" t="s">
        <v>291</v>
      </c>
      <c r="D95" s="190">
        <v>801</v>
      </c>
      <c r="E95" s="67">
        <v>27302111</v>
      </c>
      <c r="F95" s="190" t="s">
        <v>504</v>
      </c>
      <c r="G95" s="70" t="s">
        <v>636</v>
      </c>
      <c r="H95" s="75" t="s">
        <v>680</v>
      </c>
      <c r="I95" s="191" t="s">
        <v>240</v>
      </c>
      <c r="J95" s="193" t="s">
        <v>545</v>
      </c>
      <c r="K95" s="62" t="s">
        <v>363</v>
      </c>
      <c r="L95" s="65"/>
      <c r="M95" s="68"/>
      <c r="N95" s="62" t="s">
        <v>638</v>
      </c>
      <c r="O95" s="354"/>
      <c r="P95" s="378"/>
      <c r="Q95" s="272"/>
      <c r="R95" s="304" t="str">
        <f t="shared" si="3"/>
        <v>Ремонт артезианской скважины, монтаж системы автоматики скважины, замена погружного насоса, монтаж умывальника, локальных очистных сооружении</v>
      </c>
      <c r="S95" s="292" t="str">
        <f t="shared" si="2"/>
        <v>4</v>
      </c>
    </row>
    <row r="96" spans="2:22" ht="15.75" customHeight="1" x14ac:dyDescent="0.25">
      <c r="B96" s="62" t="s">
        <v>64</v>
      </c>
      <c r="C96" s="67" t="s">
        <v>291</v>
      </c>
      <c r="D96" s="190">
        <v>801</v>
      </c>
      <c r="E96" s="67">
        <v>27300364</v>
      </c>
      <c r="F96" s="190" t="s">
        <v>192</v>
      </c>
      <c r="G96" s="70" t="s">
        <v>635</v>
      </c>
      <c r="H96" s="75" t="s">
        <v>190</v>
      </c>
      <c r="I96" s="191" t="s">
        <v>240</v>
      </c>
      <c r="J96" s="193" t="s">
        <v>468</v>
      </c>
      <c r="K96" s="62" t="s">
        <v>363</v>
      </c>
      <c r="L96" s="65"/>
      <c r="M96" s="68"/>
      <c r="N96" s="236">
        <f>1117.3+304.681</f>
        <v>1421.981</v>
      </c>
      <c r="O96" s="354">
        <v>0</v>
      </c>
      <c r="P96" s="378">
        <v>0</v>
      </c>
      <c r="Q96" s="272">
        <v>0</v>
      </c>
      <c r="R96" s="304" t="str">
        <f t="shared" si="3"/>
        <v>Временно не распределенные средства</v>
      </c>
      <c r="S96" s="292" t="str">
        <f t="shared" si="2"/>
        <v>0</v>
      </c>
      <c r="U96" s="50"/>
    </row>
    <row r="97" spans="2:22" ht="57.75" customHeight="1" x14ac:dyDescent="0.25">
      <c r="B97" s="62" t="s">
        <v>64</v>
      </c>
      <c r="C97" s="67" t="s">
        <v>291</v>
      </c>
      <c r="D97" s="190">
        <v>801</v>
      </c>
      <c r="E97" s="67" t="s">
        <v>379</v>
      </c>
      <c r="F97" s="340" t="s">
        <v>429</v>
      </c>
      <c r="G97" s="295" t="s">
        <v>737</v>
      </c>
      <c r="H97" s="293" t="s">
        <v>738</v>
      </c>
      <c r="I97" s="299" t="s">
        <v>240</v>
      </c>
      <c r="J97" s="297" t="s">
        <v>263</v>
      </c>
      <c r="K97" s="336" t="s">
        <v>462</v>
      </c>
      <c r="L97" s="337"/>
      <c r="M97" s="389"/>
      <c r="N97" s="380">
        <v>0</v>
      </c>
      <c r="O97" s="354">
        <v>74788.899999999994</v>
      </c>
      <c r="P97" s="378">
        <v>0</v>
      </c>
      <c r="Q97" s="272"/>
      <c r="R97" s="304" t="str">
        <f>G97</f>
        <v>Благоустройство территории ДС Юность</v>
      </c>
      <c r="S97" s="292" t="str">
        <f t="shared" si="2"/>
        <v>1</v>
      </c>
    </row>
    <row r="98" spans="2:22" ht="78.75" customHeight="1" x14ac:dyDescent="0.25">
      <c r="B98" s="62" t="s">
        <v>64</v>
      </c>
      <c r="C98" s="67"/>
      <c r="D98" s="190"/>
      <c r="E98" s="67"/>
      <c r="F98" s="190" t="s">
        <v>439</v>
      </c>
      <c r="G98" s="70" t="s">
        <v>441</v>
      </c>
      <c r="H98" s="75" t="s">
        <v>444</v>
      </c>
      <c r="I98" s="191" t="s">
        <v>240</v>
      </c>
      <c r="J98" s="193">
        <v>3</v>
      </c>
      <c r="K98" s="62" t="s">
        <v>235</v>
      </c>
      <c r="L98" s="65" t="s">
        <v>199</v>
      </c>
      <c r="M98" s="68">
        <f>N98+O98+P98</f>
        <v>5000</v>
      </c>
      <c r="N98" s="62">
        <v>0</v>
      </c>
      <c r="O98" s="354">
        <v>5000</v>
      </c>
      <c r="P98" s="378">
        <v>0</v>
      </c>
      <c r="Q98" s="272"/>
      <c r="R98" s="304" t="str">
        <f>G98</f>
        <v>Разработка проектно-сметной документации на капитальный ремонт здания (купальни), капитальный ремонт здания (купальни), помещений</v>
      </c>
      <c r="S98" s="292">
        <f>J98</f>
        <v>3</v>
      </c>
      <c r="U98" s="50"/>
    </row>
    <row r="99" spans="2:22" ht="94.5" customHeight="1" x14ac:dyDescent="0.25">
      <c r="B99" s="62" t="s">
        <v>64</v>
      </c>
      <c r="C99" s="67"/>
      <c r="D99" s="190">
        <v>801</v>
      </c>
      <c r="E99" s="67" t="s">
        <v>379</v>
      </c>
      <c r="F99" s="190" t="s">
        <v>443</v>
      </c>
      <c r="G99" s="70" t="s">
        <v>442</v>
      </c>
      <c r="H99" s="75" t="s">
        <v>444</v>
      </c>
      <c r="I99" s="191" t="s">
        <v>240</v>
      </c>
      <c r="J99" s="193">
        <v>1</v>
      </c>
      <c r="K99" s="62" t="s">
        <v>235</v>
      </c>
      <c r="L99" s="65" t="s">
        <v>199</v>
      </c>
      <c r="M99" s="68">
        <f t="shared" ref="M99:M104" si="5">N99+O99+P99</f>
        <v>27090.41</v>
      </c>
      <c r="N99" s="62">
        <v>0</v>
      </c>
      <c r="O99" s="354">
        <v>27090.41</v>
      </c>
      <c r="P99" s="378">
        <v>0</v>
      </c>
      <c r="Q99" s="272"/>
      <c r="R99" s="304" t="str">
        <f t="shared" si="3"/>
        <v>Разработка проектно-сметной документации на капитальный ремонт легкоатлетического манежа, трибун, крыши манежа, капитальный ремонт легкоатлетического манежа, трибун, крыши манежа.</v>
      </c>
      <c r="S99" s="292">
        <f t="shared" si="2"/>
        <v>1</v>
      </c>
    </row>
    <row r="100" spans="2:22" ht="60" customHeight="1" x14ac:dyDescent="0.25">
      <c r="B100" s="62" t="s">
        <v>64</v>
      </c>
      <c r="C100" s="67"/>
      <c r="D100" s="190">
        <v>801</v>
      </c>
      <c r="E100" s="67" t="s">
        <v>379</v>
      </c>
      <c r="F100" s="190" t="s">
        <v>443</v>
      </c>
      <c r="G100" s="70" t="s">
        <v>278</v>
      </c>
      <c r="H100" s="75"/>
      <c r="I100" s="191" t="s">
        <v>240</v>
      </c>
      <c r="J100" s="193">
        <v>1</v>
      </c>
      <c r="K100" s="62" t="s">
        <v>238</v>
      </c>
      <c r="L100" s="65" t="s">
        <v>199</v>
      </c>
      <c r="M100" s="68">
        <f t="shared" si="5"/>
        <v>600</v>
      </c>
      <c r="N100" s="62">
        <v>0</v>
      </c>
      <c r="O100" s="354">
        <v>600</v>
      </c>
      <c r="P100" s="378">
        <v>0</v>
      </c>
      <c r="Q100" s="272"/>
      <c r="R100" s="304" t="str">
        <f t="shared" si="3"/>
        <v>МАУ «Дворец спорта «Юность». Ремонт электрощитовых, электромонтажные работы</v>
      </c>
      <c r="S100" s="292">
        <f t="shared" si="2"/>
        <v>1</v>
      </c>
    </row>
    <row r="101" spans="2:22" ht="63" customHeight="1" thickBot="1" x14ac:dyDescent="0.3">
      <c r="B101" s="62" t="s">
        <v>64</v>
      </c>
      <c r="C101" s="67"/>
      <c r="D101" s="190">
        <v>801</v>
      </c>
      <c r="E101" s="67" t="s">
        <v>379</v>
      </c>
      <c r="F101" s="190" t="s">
        <v>443</v>
      </c>
      <c r="G101" s="295" t="s">
        <v>279</v>
      </c>
      <c r="H101" s="293"/>
      <c r="I101" s="299" t="s">
        <v>240</v>
      </c>
      <c r="J101" s="297">
        <v>1</v>
      </c>
      <c r="K101" s="336" t="s">
        <v>235</v>
      </c>
      <c r="L101" s="337" t="s">
        <v>199</v>
      </c>
      <c r="M101" s="389">
        <f t="shared" si="5"/>
        <v>27690.41</v>
      </c>
      <c r="N101" s="336">
        <v>0</v>
      </c>
      <c r="O101" s="354">
        <v>0</v>
      </c>
      <c r="P101" s="378">
        <v>27690.41</v>
      </c>
      <c r="Q101" s="272"/>
      <c r="R101" s="304" t="str">
        <f t="shared" si="3"/>
        <v>МАУ «Дворец спорта «Юность». Капитальный ремонт фасада бассейна, внутреннего противопожарного водопровода</v>
      </c>
      <c r="S101" s="292">
        <f t="shared" si="2"/>
        <v>1</v>
      </c>
    </row>
    <row r="102" spans="2:22" ht="33.75" customHeight="1" thickBot="1" x14ac:dyDescent="0.3">
      <c r="B102" s="62" t="s">
        <v>64</v>
      </c>
      <c r="C102" s="67" t="s">
        <v>295</v>
      </c>
      <c r="D102" s="67" t="s">
        <v>116</v>
      </c>
      <c r="E102" s="67" t="s">
        <v>116</v>
      </c>
      <c r="F102" s="190" t="s">
        <v>116</v>
      </c>
      <c r="G102" s="69" t="s">
        <v>280</v>
      </c>
      <c r="H102" s="190" t="s">
        <v>116</v>
      </c>
      <c r="I102" s="191" t="s">
        <v>116</v>
      </c>
      <c r="J102" s="193" t="s">
        <v>116</v>
      </c>
      <c r="K102" s="62" t="s">
        <v>116</v>
      </c>
      <c r="L102" s="65" t="s">
        <v>199</v>
      </c>
      <c r="M102" s="68">
        <f t="shared" si="5"/>
        <v>20846.249</v>
      </c>
      <c r="N102" s="321">
        <v>17747.348999999998</v>
      </c>
      <c r="O102" s="351">
        <v>1674.45</v>
      </c>
      <c r="P102" s="321">
        <v>1424.45</v>
      </c>
      <c r="Q102" s="322">
        <v>0</v>
      </c>
      <c r="R102" s="304" t="str">
        <f t="shared" si="3"/>
        <v xml:space="preserve">Субсидии в целях приобретения нефинансовых активов        </v>
      </c>
      <c r="S102" s="292" t="str">
        <f t="shared" si="2"/>
        <v>х</v>
      </c>
      <c r="U102" s="37">
        <v>2064.65</v>
      </c>
      <c r="V102" s="51">
        <f>N102-U102</f>
        <v>15682.698999999999</v>
      </c>
    </row>
    <row r="103" spans="2:22" ht="66.75" customHeight="1" x14ac:dyDescent="0.25">
      <c r="B103" s="62" t="s">
        <v>64</v>
      </c>
      <c r="C103" s="67" t="s">
        <v>295</v>
      </c>
      <c r="D103" s="190">
        <v>801</v>
      </c>
      <c r="E103" s="67">
        <v>27301967</v>
      </c>
      <c r="F103" s="190" t="s">
        <v>202</v>
      </c>
      <c r="G103" s="70" t="s">
        <v>445</v>
      </c>
      <c r="H103" s="75" t="s">
        <v>428</v>
      </c>
      <c r="I103" s="191" t="s">
        <v>240</v>
      </c>
      <c r="J103" s="193">
        <v>7</v>
      </c>
      <c r="K103" s="62" t="s">
        <v>364</v>
      </c>
      <c r="L103" s="65" t="s">
        <v>199</v>
      </c>
      <c r="M103" s="68">
        <f t="shared" si="5"/>
        <v>510.5</v>
      </c>
      <c r="N103" s="190">
        <v>510.5</v>
      </c>
      <c r="O103" s="354">
        <v>0</v>
      </c>
      <c r="P103" s="378">
        <v>0</v>
      </c>
      <c r="Q103" s="272"/>
      <c r="R103" s="304" t="str">
        <f t="shared" si="3"/>
        <v xml:space="preserve">Приобретение спортивного оборудования и инвентаря </v>
      </c>
      <c r="S103" s="292">
        <f t="shared" si="2"/>
        <v>7</v>
      </c>
    </row>
    <row r="104" spans="2:22" ht="66.75" customHeight="1" x14ac:dyDescent="0.25">
      <c r="B104" s="62" t="s">
        <v>64</v>
      </c>
      <c r="C104" s="67" t="s">
        <v>295</v>
      </c>
      <c r="D104" s="190">
        <v>801</v>
      </c>
      <c r="E104" s="67">
        <v>27301967</v>
      </c>
      <c r="F104" s="190" t="s">
        <v>202</v>
      </c>
      <c r="G104" s="70" t="s">
        <v>639</v>
      </c>
      <c r="H104" s="75" t="s">
        <v>640</v>
      </c>
      <c r="I104" s="191" t="s">
        <v>240</v>
      </c>
      <c r="J104" s="193" t="s">
        <v>263</v>
      </c>
      <c r="K104" s="62" t="s">
        <v>363</v>
      </c>
      <c r="L104" s="65"/>
      <c r="M104" s="68">
        <f t="shared" si="5"/>
        <v>49.8</v>
      </c>
      <c r="N104" s="190">
        <v>49.8</v>
      </c>
      <c r="O104" s="354">
        <v>0</v>
      </c>
      <c r="P104" s="378">
        <v>0</v>
      </c>
      <c r="Q104" s="272"/>
      <c r="R104" s="304" t="str">
        <f t="shared" si="3"/>
        <v>Приобретение и установка системы контроля и управления доступом по адресу: ул. Земельная, 6, Балтийское шоссе, 106</v>
      </c>
      <c r="S104" s="292" t="str">
        <f t="shared" si="2"/>
        <v>1</v>
      </c>
    </row>
    <row r="105" spans="2:22" ht="98.25" customHeight="1" x14ac:dyDescent="0.25">
      <c r="B105" s="62" t="s">
        <v>64</v>
      </c>
      <c r="C105" s="67" t="s">
        <v>295</v>
      </c>
      <c r="D105" s="190">
        <v>801</v>
      </c>
      <c r="E105" s="67">
        <v>27302111</v>
      </c>
      <c r="F105" s="190" t="s">
        <v>203</v>
      </c>
      <c r="G105" s="70" t="s">
        <v>446</v>
      </c>
      <c r="H105" s="75" t="s">
        <v>447</v>
      </c>
      <c r="I105" s="191" t="s">
        <v>240</v>
      </c>
      <c r="J105" s="193">
        <v>12</v>
      </c>
      <c r="K105" s="62" t="s">
        <v>364</v>
      </c>
      <c r="L105" s="65" t="s">
        <v>199</v>
      </c>
      <c r="M105" s="68">
        <f>N105+O105+P105</f>
        <v>1163.95</v>
      </c>
      <c r="N105" s="190">
        <v>1163.95</v>
      </c>
      <c r="O105" s="354">
        <v>0</v>
      </c>
      <c r="P105" s="378">
        <v>0</v>
      </c>
      <c r="Q105" s="272"/>
      <c r="R105" s="304" t="str">
        <f t="shared" si="3"/>
        <v xml:space="preserve">Приобретение оборудования, инвентаря и материалов </v>
      </c>
      <c r="S105" s="292">
        <f t="shared" si="2"/>
        <v>12</v>
      </c>
    </row>
    <row r="106" spans="2:22" ht="98.25" customHeight="1" x14ac:dyDescent="0.25">
      <c r="B106" s="62" t="s">
        <v>64</v>
      </c>
      <c r="C106" s="67" t="s">
        <v>295</v>
      </c>
      <c r="D106" s="190">
        <v>801</v>
      </c>
      <c r="E106" s="67">
        <v>27302111</v>
      </c>
      <c r="F106" s="190" t="s">
        <v>203</v>
      </c>
      <c r="G106" s="70" t="s">
        <v>554</v>
      </c>
      <c r="H106" s="75" t="s">
        <v>555</v>
      </c>
      <c r="I106" s="191" t="s">
        <v>240</v>
      </c>
      <c r="J106" s="193" t="s">
        <v>374</v>
      </c>
      <c r="K106" s="62" t="s">
        <v>363</v>
      </c>
      <c r="L106" s="65"/>
      <c r="M106" s="68"/>
      <c r="N106" s="190">
        <v>42</v>
      </c>
      <c r="O106" s="353">
        <v>0</v>
      </c>
      <c r="P106" s="377">
        <v>0</v>
      </c>
      <c r="Q106" s="272"/>
      <c r="R106" s="304" t="str">
        <f t="shared" si="3"/>
        <v>Приобретение биотуалетов (туалетных кабин)</v>
      </c>
      <c r="S106" s="292" t="str">
        <f t="shared" si="2"/>
        <v>2</v>
      </c>
    </row>
    <row r="107" spans="2:22" ht="85.5" customHeight="1" x14ac:dyDescent="0.25">
      <c r="B107" s="62" t="s">
        <v>64</v>
      </c>
      <c r="C107" s="67" t="s">
        <v>295</v>
      </c>
      <c r="D107" s="190">
        <v>801</v>
      </c>
      <c r="E107" s="67">
        <v>27301848</v>
      </c>
      <c r="F107" s="190" t="s">
        <v>204</v>
      </c>
      <c r="G107" s="70" t="s">
        <v>481</v>
      </c>
      <c r="H107" s="75" t="s">
        <v>482</v>
      </c>
      <c r="I107" s="191" t="s">
        <v>240</v>
      </c>
      <c r="J107" s="193">
        <v>1</v>
      </c>
      <c r="K107" s="62" t="s">
        <v>364</v>
      </c>
      <c r="L107" s="65"/>
      <c r="M107" s="68"/>
      <c r="N107" s="190">
        <v>73.5</v>
      </c>
      <c r="O107" s="354">
        <v>0</v>
      </c>
      <c r="P107" s="378">
        <v>0</v>
      </c>
      <c r="Q107" s="272"/>
      <c r="R107" s="304" t="str">
        <f t="shared" si="3"/>
        <v>Приобретение и установка канализационного насоса</v>
      </c>
      <c r="S107" s="292">
        <f t="shared" si="2"/>
        <v>1</v>
      </c>
    </row>
    <row r="108" spans="2:22" ht="58.5" customHeight="1" x14ac:dyDescent="0.25">
      <c r="B108" s="62" t="s">
        <v>64</v>
      </c>
      <c r="C108" s="67" t="s">
        <v>295</v>
      </c>
      <c r="D108" s="190">
        <v>801</v>
      </c>
      <c r="E108" s="67" t="s">
        <v>382</v>
      </c>
      <c r="F108" s="190" t="s">
        <v>383</v>
      </c>
      <c r="G108" s="70" t="s">
        <v>535</v>
      </c>
      <c r="H108" s="75" t="s">
        <v>536</v>
      </c>
      <c r="I108" s="191" t="s">
        <v>240</v>
      </c>
      <c r="J108" s="193">
        <v>1</v>
      </c>
      <c r="K108" s="62" t="s">
        <v>363</v>
      </c>
      <c r="L108" s="65"/>
      <c r="M108" s="68"/>
      <c r="N108" s="190">
        <v>85</v>
      </c>
      <c r="O108" s="354">
        <v>0</v>
      </c>
      <c r="P108" s="378">
        <v>0</v>
      </c>
      <c r="Q108" s="272"/>
      <c r="R108" s="304" t="str">
        <f t="shared" si="3"/>
        <v>Приобретение скутера (мотороллера)</v>
      </c>
      <c r="S108" s="292">
        <f t="shared" si="2"/>
        <v>1</v>
      </c>
    </row>
    <row r="109" spans="2:22" ht="58.5" customHeight="1" thickBot="1" x14ac:dyDescent="0.3">
      <c r="B109" s="62" t="s">
        <v>64</v>
      </c>
      <c r="C109" s="67" t="s">
        <v>295</v>
      </c>
      <c r="D109" s="190">
        <v>801</v>
      </c>
      <c r="E109" s="67">
        <v>27301837</v>
      </c>
      <c r="F109" s="184" t="s">
        <v>629</v>
      </c>
      <c r="G109" s="70" t="s">
        <v>543</v>
      </c>
      <c r="H109" s="75" t="s">
        <v>544</v>
      </c>
      <c r="I109" s="191" t="s">
        <v>240</v>
      </c>
      <c r="J109" s="193" t="s">
        <v>545</v>
      </c>
      <c r="K109" s="62" t="s">
        <v>363</v>
      </c>
      <c r="L109" s="65"/>
      <c r="M109" s="68"/>
      <c r="N109" s="190">
        <v>65.441000000000003</v>
      </c>
      <c r="O109" s="353">
        <v>0</v>
      </c>
      <c r="P109" s="377">
        <v>0</v>
      </c>
      <c r="Q109" s="272"/>
      <c r="R109" s="304" t="str">
        <f t="shared" si="3"/>
        <v>Приобретение пылесоса и мебели</v>
      </c>
      <c r="S109" s="292" t="str">
        <f t="shared" ref="S109:S137" si="6">J109</f>
        <v>4</v>
      </c>
    </row>
    <row r="110" spans="2:22" ht="58.5" customHeight="1" x14ac:dyDescent="0.25">
      <c r="B110" s="62" t="s">
        <v>64</v>
      </c>
      <c r="C110" s="67" t="s">
        <v>295</v>
      </c>
      <c r="D110" s="190">
        <v>801</v>
      </c>
      <c r="E110" s="67" t="s">
        <v>532</v>
      </c>
      <c r="F110" s="285" t="s">
        <v>460</v>
      </c>
      <c r="G110" s="295" t="s">
        <v>483</v>
      </c>
      <c r="H110" s="293" t="s">
        <v>484</v>
      </c>
      <c r="I110" s="299" t="s">
        <v>240</v>
      </c>
      <c r="J110" s="297" t="s">
        <v>553</v>
      </c>
      <c r="K110" s="336" t="s">
        <v>462</v>
      </c>
      <c r="L110" s="337"/>
      <c r="M110" s="389"/>
      <c r="N110" s="340">
        <v>74.763000000000005</v>
      </c>
      <c r="O110" s="353">
        <v>0</v>
      </c>
      <c r="P110" s="377">
        <v>0</v>
      </c>
      <c r="Q110" s="272"/>
      <c r="R110" s="304" t="str">
        <f t="shared" ref="R110:R137" si="7">G110</f>
        <v xml:space="preserve">Приобретение и установка пластиковых перегородок </v>
      </c>
      <c r="S110" s="292" t="str">
        <f t="shared" si="6"/>
        <v>8</v>
      </c>
    </row>
    <row r="111" spans="2:22" ht="108.75" customHeight="1" x14ac:dyDescent="0.25">
      <c r="B111" s="62" t="s">
        <v>64</v>
      </c>
      <c r="C111" s="67" t="s">
        <v>295</v>
      </c>
      <c r="D111" s="190">
        <v>801</v>
      </c>
      <c r="E111" s="67">
        <v>27302111</v>
      </c>
      <c r="F111" s="190" t="s">
        <v>203</v>
      </c>
      <c r="G111" s="347" t="s">
        <v>283</v>
      </c>
      <c r="H111" s="293" t="s">
        <v>255</v>
      </c>
      <c r="I111" s="299" t="s">
        <v>240</v>
      </c>
      <c r="J111" s="297">
        <v>1</v>
      </c>
      <c r="K111" s="336" t="s">
        <v>462</v>
      </c>
      <c r="L111" s="337" t="s">
        <v>199</v>
      </c>
      <c r="M111" s="389">
        <f>N111+O111+P111</f>
        <v>1028.57</v>
      </c>
      <c r="N111" s="380">
        <v>0</v>
      </c>
      <c r="O111" s="353">
        <v>1028.57</v>
      </c>
      <c r="P111" s="377">
        <v>0</v>
      </c>
      <c r="Q111" s="272"/>
      <c r="R111" s="304" t="e">
        <f>#REF!</f>
        <v>#REF!</v>
      </c>
      <c r="S111" s="292" t="e">
        <f>#REF!</f>
        <v>#REF!</v>
      </c>
    </row>
    <row r="112" spans="2:22" ht="92.25" customHeight="1" x14ac:dyDescent="0.25">
      <c r="B112" s="62" t="s">
        <v>64</v>
      </c>
      <c r="C112" s="67" t="s">
        <v>295</v>
      </c>
      <c r="D112" s="190">
        <v>801</v>
      </c>
      <c r="E112" s="67">
        <v>27301848</v>
      </c>
      <c r="F112" s="190" t="s">
        <v>204</v>
      </c>
      <c r="G112" s="295" t="s">
        <v>740</v>
      </c>
      <c r="H112" s="293" t="s">
        <v>428</v>
      </c>
      <c r="I112" s="299" t="s">
        <v>240</v>
      </c>
      <c r="J112" s="297">
        <v>1</v>
      </c>
      <c r="K112" s="336" t="s">
        <v>462</v>
      </c>
      <c r="L112" s="337" t="s">
        <v>199</v>
      </c>
      <c r="M112" s="389">
        <f>N112+O112+P112</f>
        <v>39.9</v>
      </c>
      <c r="N112" s="380">
        <v>0</v>
      </c>
      <c r="O112" s="353">
        <v>39.9</v>
      </c>
      <c r="P112" s="377">
        <v>0</v>
      </c>
      <c r="Q112" s="272"/>
      <c r="R112" s="304" t="str">
        <f t="shared" si="7"/>
        <v xml:space="preserve">Приобретение офисного оборудования </v>
      </c>
      <c r="S112" s="292">
        <f t="shared" si="6"/>
        <v>1</v>
      </c>
      <c r="U112" s="51">
        <f>O112+O113+O111</f>
        <v>1674.4499999999998</v>
      </c>
    </row>
    <row r="113" spans="2:23" ht="125.25" customHeight="1" x14ac:dyDescent="0.25">
      <c r="B113" s="62" t="s">
        <v>64</v>
      </c>
      <c r="C113" s="67" t="s">
        <v>295</v>
      </c>
      <c r="D113" s="190">
        <v>801</v>
      </c>
      <c r="E113" s="67">
        <v>27302170</v>
      </c>
      <c r="F113" s="190" t="s">
        <v>575</v>
      </c>
      <c r="G113" s="295" t="s">
        <v>739</v>
      </c>
      <c r="H113" s="293" t="s">
        <v>428</v>
      </c>
      <c r="I113" s="299" t="s">
        <v>240</v>
      </c>
      <c r="J113" s="297" t="s">
        <v>372</v>
      </c>
      <c r="K113" s="336" t="s">
        <v>462</v>
      </c>
      <c r="L113" s="337" t="s">
        <v>199</v>
      </c>
      <c r="M113" s="389">
        <f>N113+O113+P113</f>
        <v>605.98</v>
      </c>
      <c r="N113" s="380">
        <v>0</v>
      </c>
      <c r="O113" s="353">
        <v>605.98</v>
      </c>
      <c r="P113" s="377">
        <v>0</v>
      </c>
      <c r="Q113" s="272"/>
      <c r="R113" s="304" t="str">
        <f t="shared" si="7"/>
        <v xml:space="preserve">Приобретение спортивного и компьютерного оборудования и инвентаря </v>
      </c>
      <c r="S113" s="292" t="str">
        <f t="shared" si="6"/>
        <v>6</v>
      </c>
    </row>
    <row r="114" spans="2:23" ht="122.25" customHeight="1" thickBot="1" x14ac:dyDescent="0.3">
      <c r="B114" s="180" t="s">
        <v>64</v>
      </c>
      <c r="C114" s="67" t="s">
        <v>295</v>
      </c>
      <c r="D114" s="190">
        <v>801</v>
      </c>
      <c r="E114" s="185" t="s">
        <v>532</v>
      </c>
      <c r="F114" s="334" t="s">
        <v>460</v>
      </c>
      <c r="G114" s="295" t="s">
        <v>742</v>
      </c>
      <c r="H114" s="293" t="s">
        <v>428</v>
      </c>
      <c r="I114" s="299" t="s">
        <v>240</v>
      </c>
      <c r="J114" s="297" t="s">
        <v>741</v>
      </c>
      <c r="K114" s="336" t="s">
        <v>528</v>
      </c>
      <c r="L114" s="341"/>
      <c r="M114" s="390"/>
      <c r="N114" s="380">
        <v>0</v>
      </c>
      <c r="O114" s="353">
        <v>0</v>
      </c>
      <c r="P114" s="377">
        <v>1424.45</v>
      </c>
      <c r="Q114" s="272"/>
      <c r="R114" s="304" t="str">
        <f>G111</f>
        <v xml:space="preserve">Приобретение спортивного оборудования для МБУ ДО ДЮСШ по водным видам спорта «Морская школа» </v>
      </c>
      <c r="S114" s="292">
        <f>J111</f>
        <v>1</v>
      </c>
    </row>
    <row r="115" spans="2:23" ht="70.5" customHeight="1" x14ac:dyDescent="0.25">
      <c r="B115" s="1012" t="s">
        <v>172</v>
      </c>
      <c r="C115" s="1124" t="s">
        <v>116</v>
      </c>
      <c r="D115" s="1115" t="s">
        <v>116</v>
      </c>
      <c r="E115" s="1034" t="s">
        <v>116</v>
      </c>
      <c r="F115" s="1121" t="s">
        <v>116</v>
      </c>
      <c r="G115" s="1118" t="s">
        <v>176</v>
      </c>
      <c r="H115" s="343" t="s">
        <v>381</v>
      </c>
      <c r="I115" s="333" t="s">
        <v>243</v>
      </c>
      <c r="J115" s="192">
        <v>62400</v>
      </c>
      <c r="K115" s="1022" t="s">
        <v>363</v>
      </c>
      <c r="L115" s="85" t="s">
        <v>199</v>
      </c>
      <c r="M115" s="384"/>
      <c r="N115" s="1110">
        <f>N120+N138+N141+N143+N164</f>
        <v>213867.18948000003</v>
      </c>
      <c r="O115" s="1094">
        <f>O120+O138+O141+O143+O164</f>
        <v>161538.97181999998</v>
      </c>
      <c r="P115" s="1110">
        <f>P120+P138+P141+P143+P164</f>
        <v>169398.37114999999</v>
      </c>
      <c r="Q115" s="1133">
        <f>Q120+Q138+Q141+Q143+Q164</f>
        <v>208393.49100000001</v>
      </c>
      <c r="R115" s="304" t="str">
        <f t="shared" si="7"/>
        <v xml:space="preserve">Осуществление спортивной подготовки по олимпийским видам спорта </v>
      </c>
      <c r="S115" s="292">
        <f t="shared" si="6"/>
        <v>62400</v>
      </c>
    </row>
    <row r="116" spans="2:23" ht="33" customHeight="1" x14ac:dyDescent="0.25">
      <c r="B116" s="1013"/>
      <c r="C116" s="1125"/>
      <c r="D116" s="1116"/>
      <c r="E116" s="1114"/>
      <c r="F116" s="1122"/>
      <c r="G116" s="1119"/>
      <c r="H116" s="75" t="s">
        <v>187</v>
      </c>
      <c r="I116" s="67" t="s">
        <v>241</v>
      </c>
      <c r="J116" s="87">
        <f>J121+J122+J123+J124+J125+J129+J130+J131+J132+J133+J134</f>
        <v>4640</v>
      </c>
      <c r="K116" s="1023"/>
      <c r="L116" s="65"/>
      <c r="M116" s="68"/>
      <c r="N116" s="1078"/>
      <c r="O116" s="1067"/>
      <c r="P116" s="1078"/>
      <c r="Q116" s="1109"/>
      <c r="R116" s="304">
        <f t="shared" si="7"/>
        <v>0</v>
      </c>
      <c r="S116" s="292">
        <f t="shared" si="6"/>
        <v>4640</v>
      </c>
    </row>
    <row r="117" spans="2:23" ht="84" customHeight="1" x14ac:dyDescent="0.25">
      <c r="B117" s="1013"/>
      <c r="C117" s="1125"/>
      <c r="D117" s="1116"/>
      <c r="E117" s="1114"/>
      <c r="F117" s="1122"/>
      <c r="G117" s="1119"/>
      <c r="H117" s="75" t="s">
        <v>254</v>
      </c>
      <c r="I117" s="67" t="s">
        <v>240</v>
      </c>
      <c r="J117" s="193" t="s">
        <v>553</v>
      </c>
      <c r="K117" s="1023"/>
      <c r="L117" s="65"/>
      <c r="M117" s="68"/>
      <c r="N117" s="1078"/>
      <c r="O117" s="1067"/>
      <c r="P117" s="1078"/>
      <c r="Q117" s="1109"/>
      <c r="R117" s="304">
        <f t="shared" si="7"/>
        <v>0</v>
      </c>
      <c r="S117" s="292" t="str">
        <f t="shared" si="6"/>
        <v>8</v>
      </c>
    </row>
    <row r="118" spans="2:23" ht="81.75" customHeight="1" x14ac:dyDescent="0.25">
      <c r="B118" s="1013"/>
      <c r="C118" s="1125"/>
      <c r="D118" s="1116"/>
      <c r="E118" s="1114"/>
      <c r="F118" s="1122"/>
      <c r="G118" s="1119"/>
      <c r="H118" s="75" t="s">
        <v>527</v>
      </c>
      <c r="I118" s="67" t="s">
        <v>240</v>
      </c>
      <c r="J118" s="193" t="s">
        <v>374</v>
      </c>
      <c r="K118" s="1023"/>
      <c r="L118" s="65"/>
      <c r="M118" s="68"/>
      <c r="N118" s="1078"/>
      <c r="O118" s="1067"/>
      <c r="P118" s="1078"/>
      <c r="Q118" s="1109"/>
      <c r="R118" s="304">
        <f t="shared" si="7"/>
        <v>0</v>
      </c>
      <c r="S118" s="292" t="str">
        <f t="shared" si="6"/>
        <v>2</v>
      </c>
    </row>
    <row r="119" spans="2:23" ht="69" customHeight="1" thickBot="1" x14ac:dyDescent="0.3">
      <c r="B119" s="1014"/>
      <c r="C119" s="1126"/>
      <c r="D119" s="1117"/>
      <c r="E119" s="1035"/>
      <c r="F119" s="1123"/>
      <c r="G119" s="1120"/>
      <c r="H119" s="344" t="s">
        <v>220</v>
      </c>
      <c r="I119" s="345" t="s">
        <v>240</v>
      </c>
      <c r="J119" s="335">
        <v>2</v>
      </c>
      <c r="K119" s="1024"/>
      <c r="L119" s="346"/>
      <c r="M119" s="391"/>
      <c r="N119" s="1111"/>
      <c r="O119" s="1095"/>
      <c r="P119" s="1111"/>
      <c r="Q119" s="1134"/>
      <c r="R119" s="304">
        <f t="shared" si="7"/>
        <v>0</v>
      </c>
      <c r="S119" s="292">
        <f t="shared" si="6"/>
        <v>2</v>
      </c>
      <c r="U119" s="37" t="s">
        <v>733</v>
      </c>
    </row>
    <row r="120" spans="2:23" ht="32.25" thickBot="1" x14ac:dyDescent="0.3">
      <c r="B120" s="181" t="s">
        <v>172</v>
      </c>
      <c r="C120" s="186" t="s">
        <v>590</v>
      </c>
      <c r="D120" s="186" t="s">
        <v>116</v>
      </c>
      <c r="E120" s="186" t="s">
        <v>116</v>
      </c>
      <c r="F120" s="189" t="s">
        <v>116</v>
      </c>
      <c r="G120" s="90" t="s">
        <v>589</v>
      </c>
      <c r="H120" s="183" t="s">
        <v>116</v>
      </c>
      <c r="I120" s="186" t="s">
        <v>116</v>
      </c>
      <c r="J120" s="128" t="s">
        <v>116</v>
      </c>
      <c r="K120" s="181" t="s">
        <v>363</v>
      </c>
      <c r="L120" s="129" t="s">
        <v>199</v>
      </c>
      <c r="M120" s="332"/>
      <c r="N120" s="351">
        <f>N121+N123+N124+N125+N128+N129+N130+N131+N132+N133+N135+N136+N137</f>
        <v>164165.89408000003</v>
      </c>
      <c r="O120" s="321">
        <f>O121+O123+O124+O125+O128+O129+O130+O131+O132+O133+O135+O136+O137</f>
        <v>159538.97181999998</v>
      </c>
      <c r="P120" s="321">
        <f>P121+P123+P124+P125+P128+P129+P130+P131+P132+P133+P135+P136+P137</f>
        <v>159538.97115</v>
      </c>
      <c r="Q120" s="255">
        <v>204943.49100000001</v>
      </c>
      <c r="R120" s="304" t="str">
        <f t="shared" si="7"/>
        <v>Спортивная подготовка по олимпийским видам спорта</v>
      </c>
      <c r="S120" s="292" t="str">
        <f t="shared" si="6"/>
        <v>х</v>
      </c>
      <c r="U120" s="37" t="s">
        <v>74</v>
      </c>
      <c r="V120" s="37" t="s">
        <v>731</v>
      </c>
      <c r="W120" s="37" t="s">
        <v>732</v>
      </c>
    </row>
    <row r="121" spans="2:23" ht="39" customHeight="1" x14ac:dyDescent="0.25">
      <c r="B121" s="1050" t="s">
        <v>172</v>
      </c>
      <c r="C121" s="1071" t="s">
        <v>590</v>
      </c>
      <c r="D121" s="1052">
        <v>801</v>
      </c>
      <c r="E121" s="1071" t="s">
        <v>450</v>
      </c>
      <c r="F121" s="1052" t="s">
        <v>449</v>
      </c>
      <c r="G121" s="295" t="s">
        <v>286</v>
      </c>
      <c r="H121" s="75" t="s">
        <v>187</v>
      </c>
      <c r="I121" s="191" t="s">
        <v>241</v>
      </c>
      <c r="J121" s="297">
        <v>332</v>
      </c>
      <c r="K121" s="1050" t="s">
        <v>363</v>
      </c>
      <c r="L121" s="65"/>
      <c r="M121" s="68"/>
      <c r="N121" s="1082">
        <v>12798.588460000001</v>
      </c>
      <c r="O121" s="1085">
        <v>13129.76281</v>
      </c>
      <c r="P121" s="1137">
        <v>13153.645329999999</v>
      </c>
      <c r="Q121" s="1138">
        <v>0</v>
      </c>
      <c r="R121" s="304" t="str">
        <f t="shared" si="7"/>
        <v xml:space="preserve">Спортивная подготовка по олимпийским видам спорта </v>
      </c>
      <c r="S121" s="292">
        <f t="shared" si="6"/>
        <v>332</v>
      </c>
      <c r="U121" s="149">
        <f>J121+J122+J123+J124+J125+J128+J129+J130+J131+J132+J133+J134+J135+J136</f>
        <v>4858</v>
      </c>
      <c r="V121" s="149" t="str">
        <f>J126</f>
        <v>62400</v>
      </c>
      <c r="W121" s="37">
        <v>1</v>
      </c>
    </row>
    <row r="122" spans="2:23" ht="39" customHeight="1" x14ac:dyDescent="0.25">
      <c r="B122" s="1051"/>
      <c r="C122" s="1072"/>
      <c r="D122" s="1054"/>
      <c r="E122" s="1072"/>
      <c r="F122" s="1054"/>
      <c r="G122" s="295" t="s">
        <v>448</v>
      </c>
      <c r="H122" s="75" t="s">
        <v>187</v>
      </c>
      <c r="I122" s="191" t="s">
        <v>241</v>
      </c>
      <c r="J122" s="297">
        <v>21</v>
      </c>
      <c r="K122" s="1051"/>
      <c r="L122" s="65"/>
      <c r="M122" s="68"/>
      <c r="N122" s="1083"/>
      <c r="O122" s="1086"/>
      <c r="P122" s="1083"/>
      <c r="Q122" s="1139"/>
      <c r="R122" s="304" t="str">
        <f t="shared" si="7"/>
        <v xml:space="preserve">Спортивная подготовка по не олимпийским видам спорта </v>
      </c>
      <c r="S122" s="292">
        <f t="shared" si="6"/>
        <v>21</v>
      </c>
    </row>
    <row r="123" spans="2:23" ht="78" customHeight="1" x14ac:dyDescent="0.25">
      <c r="B123" s="62" t="s">
        <v>172</v>
      </c>
      <c r="C123" s="67" t="s">
        <v>590</v>
      </c>
      <c r="D123" s="190">
        <v>801</v>
      </c>
      <c r="E123" s="186">
        <v>27301842</v>
      </c>
      <c r="F123" s="183" t="s">
        <v>408</v>
      </c>
      <c r="G123" s="295" t="s">
        <v>286</v>
      </c>
      <c r="H123" s="75" t="s">
        <v>187</v>
      </c>
      <c r="I123" s="191" t="s">
        <v>241</v>
      </c>
      <c r="J123" s="297">
        <v>652</v>
      </c>
      <c r="K123" s="62" t="s">
        <v>363</v>
      </c>
      <c r="L123" s="65"/>
      <c r="M123" s="68"/>
      <c r="N123" s="377">
        <v>19380.624940000002</v>
      </c>
      <c r="O123" s="353">
        <v>17907.234939999998</v>
      </c>
      <c r="P123" s="377">
        <v>17907.234939999998</v>
      </c>
      <c r="Q123" s="77">
        <v>0</v>
      </c>
      <c r="R123" s="304" t="str">
        <f t="shared" si="7"/>
        <v xml:space="preserve">Спортивная подготовка по олимпийским видам спорта </v>
      </c>
      <c r="S123" s="292">
        <f t="shared" si="6"/>
        <v>652</v>
      </c>
      <c r="U123" s="37">
        <v>158946.16</v>
      </c>
      <c r="V123" s="51">
        <f>N120-U123</f>
        <v>5219.7340800000238</v>
      </c>
    </row>
    <row r="124" spans="2:23" ht="59.25" customHeight="1" x14ac:dyDescent="0.25">
      <c r="B124" s="62" t="s">
        <v>172</v>
      </c>
      <c r="C124" s="67" t="s">
        <v>590</v>
      </c>
      <c r="D124" s="190">
        <v>801</v>
      </c>
      <c r="E124" s="186">
        <v>27302143</v>
      </c>
      <c r="F124" s="183" t="s">
        <v>451</v>
      </c>
      <c r="G124" s="295" t="s">
        <v>286</v>
      </c>
      <c r="H124" s="75" t="s">
        <v>187</v>
      </c>
      <c r="I124" s="191" t="s">
        <v>241</v>
      </c>
      <c r="J124" s="297">
        <v>569</v>
      </c>
      <c r="K124" s="62" t="s">
        <v>363</v>
      </c>
      <c r="L124" s="65"/>
      <c r="M124" s="68"/>
      <c r="N124" s="377">
        <v>17497.842339999999</v>
      </c>
      <c r="O124" s="353">
        <v>16451.70234</v>
      </c>
      <c r="P124" s="377">
        <v>16451.70234</v>
      </c>
      <c r="Q124" s="77">
        <v>0</v>
      </c>
      <c r="R124" s="304" t="str">
        <f t="shared" si="7"/>
        <v xml:space="preserve">Спортивная подготовка по олимпийским видам спорта </v>
      </c>
      <c r="S124" s="292">
        <f t="shared" si="6"/>
        <v>569</v>
      </c>
    </row>
    <row r="125" spans="2:23" ht="40.5" customHeight="1" x14ac:dyDescent="0.25">
      <c r="B125" s="1050" t="s">
        <v>172</v>
      </c>
      <c r="C125" s="1071" t="s">
        <v>590</v>
      </c>
      <c r="D125" s="1052">
        <v>801</v>
      </c>
      <c r="E125" s="1071" t="s">
        <v>533</v>
      </c>
      <c r="F125" s="1052" t="s">
        <v>452</v>
      </c>
      <c r="G125" s="295" t="s">
        <v>286</v>
      </c>
      <c r="H125" s="75" t="s">
        <v>187</v>
      </c>
      <c r="I125" s="191" t="s">
        <v>241</v>
      </c>
      <c r="J125" s="193">
        <v>1117</v>
      </c>
      <c r="K125" s="1050" t="s">
        <v>363</v>
      </c>
      <c r="L125" s="65"/>
      <c r="M125" s="68"/>
      <c r="N125" s="1082">
        <v>33431.313999999998</v>
      </c>
      <c r="O125" s="1140">
        <v>33259.03</v>
      </c>
      <c r="P125" s="1082">
        <v>33316.534679999997</v>
      </c>
      <c r="Q125" s="1142">
        <v>33316.534679999997</v>
      </c>
      <c r="R125" s="305" t="str">
        <f t="shared" si="7"/>
        <v xml:space="preserve">Спортивная подготовка по олимпийским видам спорта </v>
      </c>
      <c r="S125" s="292">
        <f t="shared" si="6"/>
        <v>1117</v>
      </c>
    </row>
    <row r="126" spans="2:23" ht="72.75" customHeight="1" x14ac:dyDescent="0.25">
      <c r="B126" s="1023"/>
      <c r="C126" s="1073"/>
      <c r="D126" s="1053"/>
      <c r="E126" s="1073"/>
      <c r="F126" s="1053"/>
      <c r="G126" s="296" t="s">
        <v>699</v>
      </c>
      <c r="H126" s="294" t="s">
        <v>701</v>
      </c>
      <c r="I126" s="191" t="s">
        <v>244</v>
      </c>
      <c r="J126" s="193" t="s">
        <v>572</v>
      </c>
      <c r="K126" s="1023"/>
      <c r="L126" s="65"/>
      <c r="M126" s="68"/>
      <c r="N126" s="1084"/>
      <c r="O126" s="1141"/>
      <c r="P126" s="1084"/>
      <c r="Q126" s="1143"/>
      <c r="R126" s="305" t="str">
        <f t="shared" si="7"/>
        <v>Реализация дополнительных общеразвивающих программ</v>
      </c>
      <c r="S126" s="292" t="str">
        <f t="shared" si="6"/>
        <v>62400</v>
      </c>
    </row>
    <row r="127" spans="2:23" ht="31.5" customHeight="1" x14ac:dyDescent="0.25">
      <c r="B127" s="1051"/>
      <c r="C127" s="1072"/>
      <c r="D127" s="1054"/>
      <c r="E127" s="1072"/>
      <c r="F127" s="1054"/>
      <c r="G127" s="295" t="s">
        <v>708</v>
      </c>
      <c r="H127" s="75" t="s">
        <v>234</v>
      </c>
      <c r="I127" s="191" t="s">
        <v>393</v>
      </c>
      <c r="J127" s="193" t="s">
        <v>263</v>
      </c>
      <c r="K127" s="1051"/>
      <c r="L127" s="65"/>
      <c r="M127" s="68"/>
      <c r="N127" s="1083"/>
      <c r="O127" s="1086"/>
      <c r="P127" s="1083"/>
      <c r="Q127" s="1144"/>
      <c r="R127" s="305" t="str">
        <f t="shared" si="7"/>
        <v>Организация и проведение официальных спортивных мероприятий</v>
      </c>
      <c r="S127" s="292" t="str">
        <f t="shared" si="6"/>
        <v>1</v>
      </c>
    </row>
    <row r="128" spans="2:23" ht="65.25" customHeight="1" x14ac:dyDescent="0.25">
      <c r="B128" s="180" t="s">
        <v>172</v>
      </c>
      <c r="C128" s="184" t="s">
        <v>557</v>
      </c>
      <c r="D128" s="184">
        <v>801</v>
      </c>
      <c r="E128" s="185" t="s">
        <v>382</v>
      </c>
      <c r="F128" s="183" t="s">
        <v>383</v>
      </c>
      <c r="G128" s="295" t="s">
        <v>286</v>
      </c>
      <c r="H128" s="293" t="s">
        <v>187</v>
      </c>
      <c r="I128" s="299" t="s">
        <v>241</v>
      </c>
      <c r="J128" s="297">
        <v>16</v>
      </c>
      <c r="K128" s="62" t="s">
        <v>363</v>
      </c>
      <c r="L128" s="65"/>
      <c r="M128" s="68"/>
      <c r="N128" s="377">
        <v>294.04700000000003</v>
      </c>
      <c r="O128" s="353">
        <v>0</v>
      </c>
      <c r="P128" s="377">
        <v>0</v>
      </c>
      <c r="Q128" s="262">
        <v>0</v>
      </c>
      <c r="R128" s="304" t="str">
        <f t="shared" si="7"/>
        <v xml:space="preserve">Спортивная подготовка по олимпийским видам спорта </v>
      </c>
      <c r="S128" s="292">
        <f t="shared" si="6"/>
        <v>16</v>
      </c>
    </row>
    <row r="129" spans="2:22" ht="51.75" customHeight="1" x14ac:dyDescent="0.25">
      <c r="B129" s="62" t="s">
        <v>172</v>
      </c>
      <c r="C129" s="67" t="s">
        <v>590</v>
      </c>
      <c r="D129" s="190">
        <v>801</v>
      </c>
      <c r="E129" s="67">
        <v>27301835</v>
      </c>
      <c r="F129" s="190" t="s">
        <v>384</v>
      </c>
      <c r="G129" s="295" t="s">
        <v>286</v>
      </c>
      <c r="H129" s="293" t="s">
        <v>187</v>
      </c>
      <c r="I129" s="299" t="s">
        <v>241</v>
      </c>
      <c r="J129" s="297">
        <v>392</v>
      </c>
      <c r="K129" s="62" t="s">
        <v>363</v>
      </c>
      <c r="L129" s="65" t="s">
        <v>199</v>
      </c>
      <c r="M129" s="68">
        <f>N129+O129+P129</f>
        <v>28503.227019999998</v>
      </c>
      <c r="N129" s="377">
        <v>9958.1503400000001</v>
      </c>
      <c r="O129" s="353">
        <v>9266.6103399999993</v>
      </c>
      <c r="P129" s="377">
        <v>9278.4663400000009</v>
      </c>
      <c r="Q129" s="262">
        <v>0</v>
      </c>
      <c r="R129" s="305" t="str">
        <f t="shared" si="7"/>
        <v xml:space="preserve">Спортивная подготовка по олимпийским видам спорта </v>
      </c>
      <c r="S129" s="292">
        <f t="shared" si="6"/>
        <v>392</v>
      </c>
    </row>
    <row r="130" spans="2:22" ht="62.25" customHeight="1" x14ac:dyDescent="0.25">
      <c r="B130" s="62" t="s">
        <v>172</v>
      </c>
      <c r="C130" s="67" t="s">
        <v>590</v>
      </c>
      <c r="D130" s="190">
        <v>801</v>
      </c>
      <c r="E130" s="67">
        <v>27301832</v>
      </c>
      <c r="F130" s="190" t="s">
        <v>385</v>
      </c>
      <c r="G130" s="295" t="s">
        <v>286</v>
      </c>
      <c r="H130" s="293" t="s">
        <v>187</v>
      </c>
      <c r="I130" s="299" t="s">
        <v>241</v>
      </c>
      <c r="J130" s="297">
        <v>411</v>
      </c>
      <c r="K130" s="62" t="s">
        <v>363</v>
      </c>
      <c r="L130" s="65" t="s">
        <v>199</v>
      </c>
      <c r="M130" s="68">
        <f>N130+O130+P130</f>
        <v>31402.243559999999</v>
      </c>
      <c r="N130" s="377">
        <v>10824.40705</v>
      </c>
      <c r="O130" s="353">
        <v>10280.721</v>
      </c>
      <c r="P130" s="377">
        <v>10297.11551</v>
      </c>
      <c r="Q130" s="262">
        <v>0</v>
      </c>
      <c r="R130" s="304" t="str">
        <f t="shared" si="7"/>
        <v xml:space="preserve">Спортивная подготовка по олимпийским видам спорта </v>
      </c>
      <c r="S130" s="292">
        <f t="shared" si="6"/>
        <v>411</v>
      </c>
    </row>
    <row r="131" spans="2:22" ht="48.75" customHeight="1" x14ac:dyDescent="0.25">
      <c r="B131" s="62" t="s">
        <v>172</v>
      </c>
      <c r="C131" s="67" t="s">
        <v>590</v>
      </c>
      <c r="D131" s="190">
        <v>801</v>
      </c>
      <c r="E131" s="67">
        <v>27302165</v>
      </c>
      <c r="F131" s="190" t="s">
        <v>422</v>
      </c>
      <c r="G131" s="295" t="s">
        <v>286</v>
      </c>
      <c r="H131" s="75" t="s">
        <v>187</v>
      </c>
      <c r="I131" s="191" t="s">
        <v>241</v>
      </c>
      <c r="J131" s="297">
        <v>453</v>
      </c>
      <c r="K131" s="62" t="s">
        <v>363</v>
      </c>
      <c r="L131" s="65" t="s">
        <v>199</v>
      </c>
      <c r="M131" s="68"/>
      <c r="N131" s="377">
        <v>32578.36966</v>
      </c>
      <c r="O131" s="353">
        <v>30747.201120000002</v>
      </c>
      <c r="P131" s="377">
        <v>30777.306400000001</v>
      </c>
      <c r="Q131" s="262">
        <v>0</v>
      </c>
      <c r="R131" s="304" t="str">
        <f t="shared" si="7"/>
        <v xml:space="preserve">Спортивная подготовка по олимпийским видам спорта </v>
      </c>
      <c r="S131" s="292">
        <f t="shared" si="6"/>
        <v>453</v>
      </c>
    </row>
    <row r="132" spans="2:22" ht="42.75" customHeight="1" x14ac:dyDescent="0.25">
      <c r="B132" s="62" t="s">
        <v>172</v>
      </c>
      <c r="C132" s="67" t="s">
        <v>590</v>
      </c>
      <c r="D132" s="190">
        <v>801</v>
      </c>
      <c r="E132" s="67">
        <v>27301821</v>
      </c>
      <c r="F132" s="190" t="s">
        <v>525</v>
      </c>
      <c r="G132" s="295" t="s">
        <v>286</v>
      </c>
      <c r="H132" s="75" t="s">
        <v>187</v>
      </c>
      <c r="I132" s="191" t="s">
        <v>241</v>
      </c>
      <c r="J132" s="297">
        <v>463</v>
      </c>
      <c r="K132" s="62" t="s">
        <v>363</v>
      </c>
      <c r="L132" s="65"/>
      <c r="M132" s="68"/>
      <c r="N132" s="377">
        <v>10045.81408</v>
      </c>
      <c r="O132" s="353">
        <v>9137.0540799999999</v>
      </c>
      <c r="P132" s="377">
        <v>9137.0540799999999</v>
      </c>
      <c r="Q132" s="262">
        <v>0</v>
      </c>
      <c r="R132" s="304" t="str">
        <f t="shared" si="7"/>
        <v xml:space="preserve">Спортивная подготовка по олимпийским видам спорта </v>
      </c>
      <c r="S132" s="292">
        <f t="shared" si="6"/>
        <v>463</v>
      </c>
    </row>
    <row r="133" spans="2:22" ht="43.5" customHeight="1" x14ac:dyDescent="0.25">
      <c r="B133" s="1050" t="s">
        <v>172</v>
      </c>
      <c r="C133" s="1071" t="s">
        <v>590</v>
      </c>
      <c r="D133" s="1052">
        <v>801</v>
      </c>
      <c r="E133" s="1071">
        <v>27301829</v>
      </c>
      <c r="F133" s="1052" t="s">
        <v>426</v>
      </c>
      <c r="G133" s="295" t="s">
        <v>286</v>
      </c>
      <c r="H133" s="75" t="s">
        <v>187</v>
      </c>
      <c r="I133" s="191" t="s">
        <v>241</v>
      </c>
      <c r="J133" s="297">
        <v>197</v>
      </c>
      <c r="K133" s="1050" t="s">
        <v>363</v>
      </c>
      <c r="L133" s="65"/>
      <c r="M133" s="68"/>
      <c r="N133" s="1082">
        <v>13528.063959999999</v>
      </c>
      <c r="O133" s="1140">
        <v>13247.917219999999</v>
      </c>
      <c r="P133" s="1082">
        <v>13261.846530000001</v>
      </c>
      <c r="Q133" s="1131">
        <v>0</v>
      </c>
      <c r="R133" s="304" t="str">
        <f t="shared" si="7"/>
        <v xml:space="preserve">Спортивная подготовка по олимпийским видам спорта </v>
      </c>
      <c r="S133" s="292">
        <f t="shared" si="6"/>
        <v>197</v>
      </c>
    </row>
    <row r="134" spans="2:22" ht="37.5" customHeight="1" x14ac:dyDescent="0.25">
      <c r="B134" s="1051"/>
      <c r="C134" s="1072"/>
      <c r="D134" s="1054"/>
      <c r="E134" s="1072"/>
      <c r="F134" s="1054"/>
      <c r="G134" s="295" t="s">
        <v>448</v>
      </c>
      <c r="H134" s="75" t="s">
        <v>187</v>
      </c>
      <c r="I134" s="191" t="s">
        <v>241</v>
      </c>
      <c r="J134" s="297">
        <v>33</v>
      </c>
      <c r="K134" s="1051"/>
      <c r="L134" s="65"/>
      <c r="M134" s="68"/>
      <c r="N134" s="1083"/>
      <c r="O134" s="1086"/>
      <c r="P134" s="1083"/>
      <c r="Q134" s="1132"/>
      <c r="R134" s="304" t="str">
        <f t="shared" si="7"/>
        <v xml:space="preserve">Спортивная подготовка по не олимпийским видам спорта </v>
      </c>
      <c r="S134" s="292">
        <f t="shared" si="6"/>
        <v>33</v>
      </c>
    </row>
    <row r="135" spans="2:22" ht="70.5" customHeight="1" x14ac:dyDescent="0.25">
      <c r="B135" s="120" t="s">
        <v>172</v>
      </c>
      <c r="C135" s="118" t="s">
        <v>590</v>
      </c>
      <c r="D135" s="118">
        <v>801</v>
      </c>
      <c r="E135" s="118">
        <v>27301967</v>
      </c>
      <c r="F135" s="118" t="s">
        <v>459</v>
      </c>
      <c r="G135" s="295" t="str">
        <f>G129</f>
        <v xml:space="preserve">Спортивная подготовка по олимпийским видам спорта </v>
      </c>
      <c r="H135" s="293" t="s">
        <v>187</v>
      </c>
      <c r="I135" s="299" t="s">
        <v>241</v>
      </c>
      <c r="J135" s="297" t="s">
        <v>553</v>
      </c>
      <c r="K135" s="62" t="s">
        <v>363</v>
      </c>
      <c r="L135" s="120"/>
      <c r="M135" s="205"/>
      <c r="N135" s="377">
        <v>487.21899999999999</v>
      </c>
      <c r="O135" s="353">
        <v>0</v>
      </c>
      <c r="P135" s="377">
        <v>0</v>
      </c>
      <c r="Q135" s="262">
        <v>0</v>
      </c>
      <c r="R135" s="304" t="str">
        <f t="shared" si="7"/>
        <v xml:space="preserve">Спортивная подготовка по олимпийским видам спорта </v>
      </c>
      <c r="S135" s="292" t="str">
        <f t="shared" si="6"/>
        <v>8</v>
      </c>
    </row>
    <row r="136" spans="2:22" ht="68.25" customHeight="1" x14ac:dyDescent="0.25">
      <c r="B136" s="181" t="s">
        <v>172</v>
      </c>
      <c r="C136" s="118" t="s">
        <v>590</v>
      </c>
      <c r="D136" s="183">
        <v>801</v>
      </c>
      <c r="E136" s="186" t="s">
        <v>532</v>
      </c>
      <c r="F136" s="183" t="s">
        <v>460</v>
      </c>
      <c r="G136" s="295" t="s">
        <v>286</v>
      </c>
      <c r="H136" s="293" t="s">
        <v>187</v>
      </c>
      <c r="I136" s="299" t="s">
        <v>241</v>
      </c>
      <c r="J136" s="297">
        <v>194</v>
      </c>
      <c r="K136" s="62" t="s">
        <v>363</v>
      </c>
      <c r="L136" s="129"/>
      <c r="M136" s="332"/>
      <c r="N136" s="377">
        <v>2718.2150000000001</v>
      </c>
      <c r="O136" s="353">
        <v>0</v>
      </c>
      <c r="P136" s="377">
        <v>0</v>
      </c>
      <c r="Q136" s="262">
        <v>0</v>
      </c>
      <c r="R136" s="304" t="str">
        <f t="shared" si="7"/>
        <v xml:space="preserve">Спортивная подготовка по олимпийским видам спорта </v>
      </c>
      <c r="S136" s="292">
        <f t="shared" si="6"/>
        <v>194</v>
      </c>
    </row>
    <row r="137" spans="2:22" ht="37.5" customHeight="1" thickBot="1" x14ac:dyDescent="0.3">
      <c r="B137" s="62" t="s">
        <v>172</v>
      </c>
      <c r="C137" s="67" t="s">
        <v>590</v>
      </c>
      <c r="D137" s="190">
        <v>801</v>
      </c>
      <c r="E137" s="67">
        <v>27300364</v>
      </c>
      <c r="F137" s="190" t="s">
        <v>192</v>
      </c>
      <c r="G137" s="70" t="s">
        <v>635</v>
      </c>
      <c r="H137" s="75" t="s">
        <v>187</v>
      </c>
      <c r="I137" s="191" t="s">
        <v>241</v>
      </c>
      <c r="J137" s="193" t="s">
        <v>468</v>
      </c>
      <c r="K137" s="181" t="s">
        <v>363</v>
      </c>
      <c r="L137" s="65"/>
      <c r="M137" s="68"/>
      <c r="N137" s="377">
        <f>257.371+365.86725</f>
        <v>623.23824999999999</v>
      </c>
      <c r="O137" s="353">
        <f>4951.4073+1160.33067</f>
        <v>6111.7379700000001</v>
      </c>
      <c r="P137" s="377">
        <v>5958.0649999999996</v>
      </c>
      <c r="Q137" s="262">
        <v>0</v>
      </c>
      <c r="R137" s="304" t="str">
        <f t="shared" si="7"/>
        <v>Временно не распределенные средства</v>
      </c>
      <c r="S137" s="292" t="str">
        <f t="shared" si="6"/>
        <v>0</v>
      </c>
    </row>
    <row r="138" spans="2:22" ht="71.25" customHeight="1" thickBot="1" x14ac:dyDescent="0.3">
      <c r="B138" s="62" t="s">
        <v>172</v>
      </c>
      <c r="C138" s="67" t="s">
        <v>593</v>
      </c>
      <c r="D138" s="190" t="s">
        <v>116</v>
      </c>
      <c r="E138" s="67" t="s">
        <v>116</v>
      </c>
      <c r="F138" s="190" t="s">
        <v>116</v>
      </c>
      <c r="G138" s="69" t="s">
        <v>237</v>
      </c>
      <c r="H138" s="190" t="s">
        <v>116</v>
      </c>
      <c r="I138" s="67" t="s">
        <v>116</v>
      </c>
      <c r="J138" s="193" t="s">
        <v>116</v>
      </c>
      <c r="K138" s="62" t="s">
        <v>407</v>
      </c>
      <c r="L138" s="65" t="s">
        <v>199</v>
      </c>
      <c r="M138" s="323">
        <f>M139+M140</f>
        <v>0</v>
      </c>
      <c r="N138" s="351">
        <f>N139+N140</f>
        <v>8682.7677100000001</v>
      </c>
      <c r="O138" s="321">
        <f>O139+O140</f>
        <v>0</v>
      </c>
      <c r="P138" s="321">
        <f>P139+P140</f>
        <v>0</v>
      </c>
      <c r="Q138" s="366">
        <f>Q139+Q140</f>
        <v>0</v>
      </c>
      <c r="U138" s="37">
        <v>12665.2</v>
      </c>
      <c r="V138" s="51">
        <f>N138-U138</f>
        <v>-3982.4322900000006</v>
      </c>
    </row>
    <row r="139" spans="2:22" ht="78.75" x14ac:dyDescent="0.25">
      <c r="B139" s="62" t="s">
        <v>172</v>
      </c>
      <c r="C139" s="67" t="s">
        <v>593</v>
      </c>
      <c r="D139" s="190">
        <v>164</v>
      </c>
      <c r="E139" s="67">
        <v>27302142</v>
      </c>
      <c r="F139" s="190" t="s">
        <v>88</v>
      </c>
      <c r="G139" s="91" t="s">
        <v>457</v>
      </c>
      <c r="H139" s="75" t="s">
        <v>435</v>
      </c>
      <c r="I139" s="67" t="s">
        <v>240</v>
      </c>
      <c r="J139" s="193">
        <v>1</v>
      </c>
      <c r="K139" s="62" t="s">
        <v>363</v>
      </c>
      <c r="L139" s="65"/>
      <c r="M139" s="323"/>
      <c r="N139" s="377">
        <v>5057.16</v>
      </c>
      <c r="O139" s="353">
        <v>0</v>
      </c>
      <c r="P139" s="377">
        <v>0</v>
      </c>
      <c r="Q139" s="77">
        <v>0</v>
      </c>
      <c r="U139" s="51">
        <f>N138+N141</f>
        <v>13309.36771</v>
      </c>
    </row>
    <row r="140" spans="2:22" ht="79.5" thickBot="1" x14ac:dyDescent="0.3">
      <c r="B140" s="62" t="s">
        <v>172</v>
      </c>
      <c r="C140" s="67" t="s">
        <v>593</v>
      </c>
      <c r="D140" s="190">
        <v>801</v>
      </c>
      <c r="E140" s="67">
        <v>27302165</v>
      </c>
      <c r="F140" s="190" t="s">
        <v>422</v>
      </c>
      <c r="G140" s="91" t="s">
        <v>626</v>
      </c>
      <c r="H140" s="75" t="s">
        <v>435</v>
      </c>
      <c r="I140" s="67" t="s">
        <v>240</v>
      </c>
      <c r="J140" s="193">
        <v>1</v>
      </c>
      <c r="K140" s="62" t="s">
        <v>363</v>
      </c>
      <c r="L140" s="65"/>
      <c r="M140" s="323"/>
      <c r="N140" s="377">
        <v>3625.6077100000002</v>
      </c>
      <c r="O140" s="353">
        <v>0</v>
      </c>
      <c r="P140" s="377">
        <v>0</v>
      </c>
      <c r="Q140" s="367">
        <v>0</v>
      </c>
      <c r="U140" s="51">
        <f>N139+N142</f>
        <v>9683.76</v>
      </c>
    </row>
    <row r="141" spans="2:22" ht="52.5" customHeight="1" thickBot="1" x14ac:dyDescent="0.3">
      <c r="B141" s="62" t="s">
        <v>172</v>
      </c>
      <c r="C141" s="67" t="s">
        <v>592</v>
      </c>
      <c r="D141" s="190" t="s">
        <v>116</v>
      </c>
      <c r="E141" s="190" t="s">
        <v>116</v>
      </c>
      <c r="F141" s="190" t="s">
        <v>116</v>
      </c>
      <c r="G141" s="69" t="s">
        <v>591</v>
      </c>
      <c r="H141" s="75" t="s">
        <v>465</v>
      </c>
      <c r="I141" s="67" t="s">
        <v>240</v>
      </c>
      <c r="J141" s="193">
        <v>1</v>
      </c>
      <c r="K141" s="62" t="s">
        <v>466</v>
      </c>
      <c r="L141" s="65"/>
      <c r="M141" s="323">
        <f>M142</f>
        <v>0</v>
      </c>
      <c r="N141" s="351">
        <f>N142</f>
        <v>4626.6000000000004</v>
      </c>
      <c r="O141" s="321">
        <f>O142</f>
        <v>0</v>
      </c>
      <c r="P141" s="321">
        <f>P142</f>
        <v>2609.4</v>
      </c>
      <c r="Q141" s="368">
        <v>0</v>
      </c>
    </row>
    <row r="142" spans="2:22" ht="48" thickBot="1" x14ac:dyDescent="0.3">
      <c r="B142" s="62" t="s">
        <v>172</v>
      </c>
      <c r="C142" s="67" t="s">
        <v>592</v>
      </c>
      <c r="D142" s="184">
        <v>164</v>
      </c>
      <c r="E142" s="67">
        <v>27302142</v>
      </c>
      <c r="F142" s="190" t="s">
        <v>88</v>
      </c>
      <c r="G142" s="91" t="s">
        <v>467</v>
      </c>
      <c r="H142" s="75" t="s">
        <v>465</v>
      </c>
      <c r="I142" s="67" t="s">
        <v>240</v>
      </c>
      <c r="J142" s="193">
        <v>1</v>
      </c>
      <c r="K142" s="62" t="s">
        <v>466</v>
      </c>
      <c r="L142" s="65"/>
      <c r="M142" s="323"/>
      <c r="N142" s="377">
        <v>4626.6000000000004</v>
      </c>
      <c r="O142" s="401">
        <v>0</v>
      </c>
      <c r="P142" s="402">
        <v>2609.4</v>
      </c>
      <c r="Q142" s="369">
        <v>0</v>
      </c>
    </row>
    <row r="143" spans="2:22" ht="53.25" customHeight="1" thickBot="1" x14ac:dyDescent="0.3">
      <c r="B143" s="62" t="s">
        <v>172</v>
      </c>
      <c r="C143" s="67" t="s">
        <v>291</v>
      </c>
      <c r="D143" s="125" t="s">
        <v>116</v>
      </c>
      <c r="E143" s="67" t="s">
        <v>116</v>
      </c>
      <c r="F143" s="190" t="s">
        <v>116</v>
      </c>
      <c r="G143" s="69" t="s">
        <v>77</v>
      </c>
      <c r="H143" s="190" t="s">
        <v>116</v>
      </c>
      <c r="I143" s="67" t="s">
        <v>116</v>
      </c>
      <c r="J143" s="193" t="s">
        <v>116</v>
      </c>
      <c r="K143" s="62" t="s">
        <v>363</v>
      </c>
      <c r="L143" s="65"/>
      <c r="M143" s="68"/>
      <c r="N143" s="237">
        <f>N144+N145+N146+N147+N148+N149+N150+N151+N152+N153+N154+N155+N156+N157+N158+N159+N160+N161+N162+N163</f>
        <v>14794.948690000001</v>
      </c>
      <c r="O143" s="351">
        <f>O144+O145+O146+O147+O148+O149+O151+O152+O153+O154+O156+O157+O158+O159+O160+O161+O162+O163</f>
        <v>2000</v>
      </c>
      <c r="P143" s="321">
        <f>P144+P145+P146+P147+P148+P149+P151+P152+P153+P154+P156+P157+P158+P159+P160+P161+P162+P163</f>
        <v>7000</v>
      </c>
      <c r="Q143" s="251">
        <v>3450</v>
      </c>
      <c r="U143" s="37">
        <v>15820.941699999999</v>
      </c>
      <c r="V143" s="51">
        <f>N143-U143</f>
        <v>-1025.9930099999983</v>
      </c>
    </row>
    <row r="144" spans="2:22" ht="53.25" customHeight="1" x14ac:dyDescent="0.25">
      <c r="B144" s="62" t="s">
        <v>172</v>
      </c>
      <c r="C144" s="67" t="s">
        <v>291</v>
      </c>
      <c r="D144" s="183">
        <v>801</v>
      </c>
      <c r="E144" s="67" t="s">
        <v>450</v>
      </c>
      <c r="F144" s="190" t="s">
        <v>449</v>
      </c>
      <c r="G144" s="70" t="s">
        <v>643</v>
      </c>
      <c r="H144" s="75" t="s">
        <v>642</v>
      </c>
      <c r="I144" s="67" t="s">
        <v>240</v>
      </c>
      <c r="J144" s="193">
        <v>1</v>
      </c>
      <c r="K144" s="62" t="s">
        <v>363</v>
      </c>
      <c r="L144" s="65"/>
      <c r="M144" s="68"/>
      <c r="N144" s="236">
        <v>34.219000000000001</v>
      </c>
      <c r="O144" s="356">
        <v>0</v>
      </c>
      <c r="P144" s="270">
        <v>0</v>
      </c>
      <c r="Q144" s="365"/>
    </row>
    <row r="145" spans="2:21" ht="68.25" customHeight="1" x14ac:dyDescent="0.25">
      <c r="B145" s="62" t="s">
        <v>172</v>
      </c>
      <c r="C145" s="67" t="s">
        <v>291</v>
      </c>
      <c r="D145" s="190">
        <v>801</v>
      </c>
      <c r="E145" s="67">
        <v>27301842</v>
      </c>
      <c r="F145" s="190" t="s">
        <v>408</v>
      </c>
      <c r="G145" s="70" t="s">
        <v>669</v>
      </c>
      <c r="H145" s="75" t="s">
        <v>409</v>
      </c>
      <c r="I145" s="67" t="s">
        <v>240</v>
      </c>
      <c r="J145" s="193">
        <v>1</v>
      </c>
      <c r="K145" s="62" t="s">
        <v>363</v>
      </c>
      <c r="L145" s="65" t="s">
        <v>199</v>
      </c>
      <c r="M145" s="68">
        <f t="shared" ref="M145:M156" si="8">N145+O145+P145</f>
        <v>2641.549</v>
      </c>
      <c r="N145" s="236">
        <f>(2641.549+143.68096)-143.68096</f>
        <v>2641.549</v>
      </c>
      <c r="O145" s="323">
        <v>0</v>
      </c>
      <c r="P145" s="236">
        <v>0</v>
      </c>
      <c r="Q145" s="272"/>
      <c r="U145" s="37" t="s">
        <v>679</v>
      </c>
    </row>
    <row r="146" spans="2:21" ht="83.25" customHeight="1" x14ac:dyDescent="0.25">
      <c r="B146" s="62" t="s">
        <v>172</v>
      </c>
      <c r="C146" s="67" t="s">
        <v>291</v>
      </c>
      <c r="D146" s="190">
        <v>801</v>
      </c>
      <c r="E146" s="67">
        <v>27302143</v>
      </c>
      <c r="F146" s="190" t="s">
        <v>405</v>
      </c>
      <c r="G146" s="70" t="s">
        <v>625</v>
      </c>
      <c r="H146" s="75" t="s">
        <v>406</v>
      </c>
      <c r="I146" s="67" t="s">
        <v>240</v>
      </c>
      <c r="J146" s="193">
        <v>3</v>
      </c>
      <c r="K146" s="62" t="s">
        <v>363</v>
      </c>
      <c r="L146" s="65" t="s">
        <v>199</v>
      </c>
      <c r="M146" s="68">
        <f t="shared" si="8"/>
        <v>1039.44</v>
      </c>
      <c r="N146" s="236">
        <f>947.14+92.3</f>
        <v>1039.44</v>
      </c>
      <c r="O146" s="323">
        <v>0</v>
      </c>
      <c r="P146" s="236">
        <v>0</v>
      </c>
      <c r="Q146" s="272"/>
    </row>
    <row r="147" spans="2:21" ht="38.25" customHeight="1" x14ac:dyDescent="0.25">
      <c r="B147" s="62" t="s">
        <v>172</v>
      </c>
      <c r="C147" s="67" t="s">
        <v>291</v>
      </c>
      <c r="D147" s="190">
        <v>801</v>
      </c>
      <c r="E147" s="67" t="s">
        <v>533</v>
      </c>
      <c r="F147" s="190" t="s">
        <v>411</v>
      </c>
      <c r="G147" s="70" t="s">
        <v>413</v>
      </c>
      <c r="H147" s="75" t="s">
        <v>414</v>
      </c>
      <c r="I147" s="67" t="s">
        <v>240</v>
      </c>
      <c r="J147" s="193">
        <v>1</v>
      </c>
      <c r="K147" s="62" t="s">
        <v>363</v>
      </c>
      <c r="L147" s="65" t="s">
        <v>199</v>
      </c>
      <c r="M147" s="68">
        <f t="shared" si="8"/>
        <v>1544.57</v>
      </c>
      <c r="N147" s="236">
        <v>1544.57</v>
      </c>
      <c r="O147" s="323">
        <v>0</v>
      </c>
      <c r="P147" s="236">
        <v>0</v>
      </c>
      <c r="Q147" s="272"/>
    </row>
    <row r="148" spans="2:21" ht="54" customHeight="1" x14ac:dyDescent="0.25">
      <c r="B148" s="62" t="s">
        <v>172</v>
      </c>
      <c r="C148" s="67" t="s">
        <v>291</v>
      </c>
      <c r="D148" s="190">
        <v>801</v>
      </c>
      <c r="E148" s="67" t="s">
        <v>533</v>
      </c>
      <c r="F148" s="190" t="s">
        <v>411</v>
      </c>
      <c r="G148" s="70" t="s">
        <v>415</v>
      </c>
      <c r="H148" s="75" t="s">
        <v>416</v>
      </c>
      <c r="I148" s="67" t="s">
        <v>240</v>
      </c>
      <c r="J148" s="193">
        <v>10</v>
      </c>
      <c r="K148" s="62" t="s">
        <v>363</v>
      </c>
      <c r="L148" s="65" t="s">
        <v>199</v>
      </c>
      <c r="M148" s="68">
        <f t="shared" si="8"/>
        <v>2158.3119999999999</v>
      </c>
      <c r="N148" s="236">
        <v>2158.3119999999999</v>
      </c>
      <c r="O148" s="323">
        <v>0</v>
      </c>
      <c r="P148" s="236">
        <v>0</v>
      </c>
      <c r="Q148" s="272"/>
    </row>
    <row r="149" spans="2:21" ht="54" customHeight="1" x14ac:dyDescent="0.25">
      <c r="B149" s="62" t="s">
        <v>172</v>
      </c>
      <c r="C149" s="67" t="s">
        <v>291</v>
      </c>
      <c r="D149" s="190">
        <v>801</v>
      </c>
      <c r="E149" s="67" t="s">
        <v>533</v>
      </c>
      <c r="F149" s="190" t="s">
        <v>411</v>
      </c>
      <c r="G149" s="70" t="s">
        <v>418</v>
      </c>
      <c r="H149" s="75" t="s">
        <v>417</v>
      </c>
      <c r="I149" s="67" t="s">
        <v>240</v>
      </c>
      <c r="J149" s="193">
        <v>1</v>
      </c>
      <c r="K149" s="62" t="s">
        <v>363</v>
      </c>
      <c r="L149" s="65" t="s">
        <v>199</v>
      </c>
      <c r="M149" s="68">
        <f t="shared" si="8"/>
        <v>747.68</v>
      </c>
      <c r="N149" s="236">
        <v>747.68</v>
      </c>
      <c r="O149" s="323">
        <v>0</v>
      </c>
      <c r="P149" s="236">
        <v>0</v>
      </c>
      <c r="Q149" s="272"/>
    </row>
    <row r="150" spans="2:21" ht="46.5" customHeight="1" x14ac:dyDescent="0.25">
      <c r="B150" s="62" t="s">
        <v>172</v>
      </c>
      <c r="C150" s="67" t="s">
        <v>291</v>
      </c>
      <c r="D150" s="190">
        <v>801</v>
      </c>
      <c r="E150" s="67" t="s">
        <v>533</v>
      </c>
      <c r="F150" s="190" t="s">
        <v>411</v>
      </c>
      <c r="G150" s="70" t="s">
        <v>537</v>
      </c>
      <c r="H150" s="75" t="s">
        <v>538</v>
      </c>
      <c r="I150" s="67" t="s">
        <v>240</v>
      </c>
      <c r="J150" s="193">
        <v>1</v>
      </c>
      <c r="K150" s="62" t="s">
        <v>363</v>
      </c>
      <c r="L150" s="65"/>
      <c r="M150" s="68">
        <f t="shared" si="8"/>
        <v>77.841999999999999</v>
      </c>
      <c r="N150" s="236">
        <v>77.841999999999999</v>
      </c>
      <c r="O150" s="323">
        <v>0</v>
      </c>
      <c r="P150" s="236">
        <v>0</v>
      </c>
      <c r="Q150" s="272"/>
    </row>
    <row r="151" spans="2:21" ht="46.5" customHeight="1" x14ac:dyDescent="0.25">
      <c r="B151" s="62" t="s">
        <v>172</v>
      </c>
      <c r="C151" s="67" t="s">
        <v>291</v>
      </c>
      <c r="D151" s="190">
        <v>801</v>
      </c>
      <c r="E151" s="67" t="s">
        <v>533</v>
      </c>
      <c r="F151" s="190" t="s">
        <v>411</v>
      </c>
      <c r="G151" s="70" t="s">
        <v>539</v>
      </c>
      <c r="H151" s="75" t="s">
        <v>388</v>
      </c>
      <c r="I151" s="67" t="s">
        <v>240</v>
      </c>
      <c r="J151" s="193">
        <v>1</v>
      </c>
      <c r="K151" s="62" t="s">
        <v>363</v>
      </c>
      <c r="L151" s="65"/>
      <c r="M151" s="68">
        <f t="shared" si="8"/>
        <v>892.54700000000003</v>
      </c>
      <c r="N151" s="236">
        <v>892.54700000000003</v>
      </c>
      <c r="O151" s="323">
        <v>0</v>
      </c>
      <c r="P151" s="236">
        <v>0</v>
      </c>
      <c r="Q151" s="272"/>
    </row>
    <row r="152" spans="2:21" ht="69" customHeight="1" x14ac:dyDescent="0.25">
      <c r="B152" s="62" t="s">
        <v>172</v>
      </c>
      <c r="C152" s="67" t="s">
        <v>291</v>
      </c>
      <c r="D152" s="190">
        <v>801</v>
      </c>
      <c r="E152" s="67">
        <v>27301835</v>
      </c>
      <c r="F152" s="190" t="s">
        <v>419</v>
      </c>
      <c r="G152" s="70" t="s">
        <v>420</v>
      </c>
      <c r="H152" s="75" t="s">
        <v>434</v>
      </c>
      <c r="I152" s="67" t="s">
        <v>240</v>
      </c>
      <c r="J152" s="193">
        <v>3</v>
      </c>
      <c r="K152" s="62" t="s">
        <v>363</v>
      </c>
      <c r="L152" s="65" t="s">
        <v>199</v>
      </c>
      <c r="M152" s="68">
        <f t="shared" si="8"/>
        <v>361.20499999999998</v>
      </c>
      <c r="N152" s="236">
        <v>361.20499999999998</v>
      </c>
      <c r="O152" s="323">
        <v>0</v>
      </c>
      <c r="P152" s="236">
        <v>0</v>
      </c>
      <c r="Q152" s="272"/>
      <c r="S152" s="50"/>
    </row>
    <row r="153" spans="2:21" ht="54" customHeight="1" x14ac:dyDescent="0.25">
      <c r="B153" s="62" t="s">
        <v>172</v>
      </c>
      <c r="C153" s="67" t="s">
        <v>291</v>
      </c>
      <c r="D153" s="190">
        <v>801</v>
      </c>
      <c r="E153" s="67">
        <v>27301835</v>
      </c>
      <c r="F153" s="190" t="s">
        <v>419</v>
      </c>
      <c r="G153" s="70" t="s">
        <v>490</v>
      </c>
      <c r="H153" s="75" t="s">
        <v>491</v>
      </c>
      <c r="I153" s="67" t="s">
        <v>240</v>
      </c>
      <c r="J153" s="193">
        <v>2</v>
      </c>
      <c r="K153" s="62" t="s">
        <v>363</v>
      </c>
      <c r="L153" s="65"/>
      <c r="M153" s="68">
        <f t="shared" si="8"/>
        <v>121.43</v>
      </c>
      <c r="N153" s="236">
        <v>121.43</v>
      </c>
      <c r="O153" s="323">
        <v>0</v>
      </c>
      <c r="P153" s="236">
        <v>0</v>
      </c>
      <c r="Q153" s="272"/>
    </row>
    <row r="154" spans="2:21" ht="54" customHeight="1" x14ac:dyDescent="0.25">
      <c r="B154" s="62" t="s">
        <v>172</v>
      </c>
      <c r="C154" s="67" t="s">
        <v>291</v>
      </c>
      <c r="D154" s="190">
        <v>801</v>
      </c>
      <c r="E154" s="67">
        <v>27301835</v>
      </c>
      <c r="F154" s="190" t="s">
        <v>419</v>
      </c>
      <c r="G154" s="70" t="s">
        <v>492</v>
      </c>
      <c r="H154" s="75" t="s">
        <v>488</v>
      </c>
      <c r="I154" s="67" t="s">
        <v>240</v>
      </c>
      <c r="J154" s="193">
        <v>2</v>
      </c>
      <c r="K154" s="62" t="s">
        <v>363</v>
      </c>
      <c r="L154" s="65"/>
      <c r="M154" s="68">
        <f t="shared" si="8"/>
        <v>650</v>
      </c>
      <c r="N154" s="236">
        <v>650</v>
      </c>
      <c r="O154" s="323">
        <v>0</v>
      </c>
      <c r="P154" s="236">
        <v>0</v>
      </c>
      <c r="Q154" s="272"/>
    </row>
    <row r="155" spans="2:21" ht="54" customHeight="1" x14ac:dyDescent="0.25">
      <c r="B155" s="62" t="s">
        <v>172</v>
      </c>
      <c r="C155" s="67" t="s">
        <v>291</v>
      </c>
      <c r="D155" s="190">
        <v>801</v>
      </c>
      <c r="E155" s="67">
        <v>27301835</v>
      </c>
      <c r="F155" s="190" t="s">
        <v>419</v>
      </c>
      <c r="G155" s="70" t="s">
        <v>566</v>
      </c>
      <c r="H155" s="75" t="s">
        <v>567</v>
      </c>
      <c r="I155" s="67" t="s">
        <v>240</v>
      </c>
      <c r="J155" s="193" t="s">
        <v>568</v>
      </c>
      <c r="K155" s="62" t="s">
        <v>363</v>
      </c>
      <c r="L155" s="65"/>
      <c r="M155" s="68">
        <f t="shared" si="8"/>
        <v>419.28199999999998</v>
      </c>
      <c r="N155" s="236">
        <v>419.28199999999998</v>
      </c>
      <c r="O155" s="323">
        <v>0</v>
      </c>
      <c r="P155" s="236">
        <v>0</v>
      </c>
      <c r="Q155" s="272"/>
    </row>
    <row r="156" spans="2:21" ht="54" customHeight="1" x14ac:dyDescent="0.25">
      <c r="B156" s="62" t="s">
        <v>172</v>
      </c>
      <c r="C156" s="67" t="s">
        <v>291</v>
      </c>
      <c r="D156" s="190">
        <v>801</v>
      </c>
      <c r="E156" s="67">
        <v>27301835</v>
      </c>
      <c r="F156" s="190" t="s">
        <v>419</v>
      </c>
      <c r="G156" s="70" t="s">
        <v>641</v>
      </c>
      <c r="H156" s="75" t="s">
        <v>414</v>
      </c>
      <c r="I156" s="67" t="s">
        <v>240</v>
      </c>
      <c r="J156" s="193" t="s">
        <v>263</v>
      </c>
      <c r="K156" s="62" t="s">
        <v>363</v>
      </c>
      <c r="L156" s="65"/>
      <c r="M156" s="68">
        <f t="shared" si="8"/>
        <v>58</v>
      </c>
      <c r="N156" s="236">
        <v>58</v>
      </c>
      <c r="O156" s="323">
        <v>0</v>
      </c>
      <c r="P156" s="236">
        <v>0</v>
      </c>
      <c r="Q156" s="272"/>
    </row>
    <row r="157" spans="2:21" ht="103.5" customHeight="1" x14ac:dyDescent="0.25">
      <c r="B157" s="62" t="s">
        <v>172</v>
      </c>
      <c r="C157" s="67" t="s">
        <v>291</v>
      </c>
      <c r="D157" s="190">
        <v>801</v>
      </c>
      <c r="E157" s="67">
        <v>27301832</v>
      </c>
      <c r="F157" s="190" t="s">
        <v>385</v>
      </c>
      <c r="G157" s="70" t="s">
        <v>529</v>
      </c>
      <c r="H157" s="75" t="s">
        <v>530</v>
      </c>
      <c r="I157" s="67" t="s">
        <v>240</v>
      </c>
      <c r="J157" s="193" t="s">
        <v>531</v>
      </c>
      <c r="K157" s="62" t="s">
        <v>363</v>
      </c>
      <c r="L157" s="65"/>
      <c r="M157" s="68"/>
      <c r="N157" s="236">
        <f>(3240.19969+467.72855-30)-467.72855</f>
        <v>3210.1996899999999</v>
      </c>
      <c r="O157" s="323">
        <v>0</v>
      </c>
      <c r="P157" s="236">
        <v>0</v>
      </c>
      <c r="Q157" s="272"/>
      <c r="U157" s="37" t="s">
        <v>679</v>
      </c>
    </row>
    <row r="158" spans="2:21" ht="66.75" customHeight="1" x14ac:dyDescent="0.25">
      <c r="B158" s="62" t="s">
        <v>172</v>
      </c>
      <c r="C158" s="67" t="s">
        <v>291</v>
      </c>
      <c r="D158" s="190">
        <v>801</v>
      </c>
      <c r="E158" s="67">
        <v>27301832</v>
      </c>
      <c r="F158" s="190" t="s">
        <v>385</v>
      </c>
      <c r="G158" s="70" t="s">
        <v>655</v>
      </c>
      <c r="H158" s="75" t="s">
        <v>656</v>
      </c>
      <c r="I158" s="67" t="s">
        <v>240</v>
      </c>
      <c r="J158" s="193" t="s">
        <v>263</v>
      </c>
      <c r="K158" s="62" t="s">
        <v>363</v>
      </c>
      <c r="L158" s="65"/>
      <c r="M158" s="68"/>
      <c r="N158" s="236">
        <v>30</v>
      </c>
      <c r="O158" s="323">
        <v>0</v>
      </c>
      <c r="P158" s="236">
        <v>0</v>
      </c>
      <c r="Q158" s="272"/>
    </row>
    <row r="159" spans="2:21" ht="33.75" customHeight="1" x14ac:dyDescent="0.25">
      <c r="B159" s="62" t="s">
        <v>172</v>
      </c>
      <c r="C159" s="67" t="s">
        <v>291</v>
      </c>
      <c r="D159" s="190">
        <v>801</v>
      </c>
      <c r="E159" s="67">
        <v>27302165</v>
      </c>
      <c r="F159" s="190" t="s">
        <v>422</v>
      </c>
      <c r="G159" s="70" t="s">
        <v>494</v>
      </c>
      <c r="H159" s="75" t="s">
        <v>480</v>
      </c>
      <c r="I159" s="67" t="s">
        <v>240</v>
      </c>
      <c r="J159" s="193">
        <v>17</v>
      </c>
      <c r="K159" s="62" t="s">
        <v>363</v>
      </c>
      <c r="L159" s="65"/>
      <c r="M159" s="68">
        <f>N159+O159+P159</f>
        <v>133.6</v>
      </c>
      <c r="N159" s="236">
        <v>133.6</v>
      </c>
      <c r="O159" s="323">
        <v>0</v>
      </c>
      <c r="P159" s="236">
        <v>0</v>
      </c>
      <c r="Q159" s="272"/>
    </row>
    <row r="160" spans="2:21" ht="60.75" customHeight="1" x14ac:dyDescent="0.25">
      <c r="B160" s="62" t="s">
        <v>172</v>
      </c>
      <c r="C160" s="67" t="s">
        <v>291</v>
      </c>
      <c r="D160" s="190">
        <v>801</v>
      </c>
      <c r="E160" s="67">
        <v>27301829</v>
      </c>
      <c r="F160" s="190" t="s">
        <v>426</v>
      </c>
      <c r="G160" s="70" t="s">
        <v>496</v>
      </c>
      <c r="H160" s="75" t="s">
        <v>489</v>
      </c>
      <c r="I160" s="67" t="s">
        <v>240</v>
      </c>
      <c r="J160" s="193">
        <v>1</v>
      </c>
      <c r="K160" s="62" t="s">
        <v>363</v>
      </c>
      <c r="L160" s="65"/>
      <c r="M160" s="68">
        <f>N160+O160+P160</f>
        <v>589.4</v>
      </c>
      <c r="N160" s="236">
        <f>465.097+124.303</f>
        <v>589.4</v>
      </c>
      <c r="O160" s="323">
        <v>0</v>
      </c>
      <c r="P160" s="236">
        <v>0</v>
      </c>
      <c r="Q160" s="272"/>
    </row>
    <row r="161" spans="2:22" ht="33" customHeight="1" x14ac:dyDescent="0.25">
      <c r="B161" s="62" t="s">
        <v>172</v>
      </c>
      <c r="C161" s="67" t="s">
        <v>291</v>
      </c>
      <c r="D161" s="190">
        <v>801</v>
      </c>
      <c r="E161" s="67">
        <v>27300364</v>
      </c>
      <c r="F161" s="190" t="s">
        <v>192</v>
      </c>
      <c r="G161" s="70" t="s">
        <v>635</v>
      </c>
      <c r="H161" s="75" t="s">
        <v>190</v>
      </c>
      <c r="I161" s="191" t="s">
        <v>240</v>
      </c>
      <c r="J161" s="193" t="s">
        <v>468</v>
      </c>
      <c r="K161" s="62" t="s">
        <v>363</v>
      </c>
      <c r="L161" s="65"/>
      <c r="M161" s="68"/>
      <c r="N161" s="236">
        <f>85.673</f>
        <v>85.673000000000002</v>
      </c>
      <c r="O161" s="323">
        <v>0</v>
      </c>
      <c r="P161" s="236">
        <v>0</v>
      </c>
      <c r="Q161" s="272"/>
    </row>
    <row r="162" spans="2:22" ht="47.25" customHeight="1" x14ac:dyDescent="0.25">
      <c r="B162" s="62" t="s">
        <v>172</v>
      </c>
      <c r="C162" s="67" t="s">
        <v>291</v>
      </c>
      <c r="D162" s="190">
        <v>801</v>
      </c>
      <c r="E162" s="339">
        <v>27302165</v>
      </c>
      <c r="F162" s="340" t="s">
        <v>422</v>
      </c>
      <c r="G162" s="295" t="s">
        <v>421</v>
      </c>
      <c r="H162" s="293" t="s">
        <v>423</v>
      </c>
      <c r="I162" s="339" t="s">
        <v>240</v>
      </c>
      <c r="J162" s="297">
        <v>1</v>
      </c>
      <c r="K162" s="336" t="s">
        <v>363</v>
      </c>
      <c r="L162" s="337"/>
      <c r="M162" s="389">
        <f t="shared" ref="M162:M167" si="9">N162+O162+P162</f>
        <v>2000</v>
      </c>
      <c r="N162" s="380">
        <v>0</v>
      </c>
      <c r="O162" s="357">
        <v>2000</v>
      </c>
      <c r="P162" s="380">
        <v>0</v>
      </c>
      <c r="Q162" s="370"/>
    </row>
    <row r="163" spans="2:22" ht="31.5" customHeight="1" thickBot="1" x14ac:dyDescent="0.3">
      <c r="B163" s="62" t="s">
        <v>172</v>
      </c>
      <c r="C163" s="67" t="s">
        <v>291</v>
      </c>
      <c r="D163" s="190">
        <v>801</v>
      </c>
      <c r="E163" s="339">
        <v>27302165</v>
      </c>
      <c r="F163" s="340" t="s">
        <v>422</v>
      </c>
      <c r="G163" s="295" t="s">
        <v>424</v>
      </c>
      <c r="H163" s="293" t="s">
        <v>425</v>
      </c>
      <c r="I163" s="339" t="s">
        <v>240</v>
      </c>
      <c r="J163" s="297">
        <v>1</v>
      </c>
      <c r="K163" s="336" t="s">
        <v>363</v>
      </c>
      <c r="L163" s="337" t="s">
        <v>199</v>
      </c>
      <c r="M163" s="389">
        <f t="shared" si="9"/>
        <v>7000</v>
      </c>
      <c r="N163" s="380">
        <v>0</v>
      </c>
      <c r="O163" s="357">
        <v>0</v>
      </c>
      <c r="P163" s="380">
        <v>7000</v>
      </c>
      <c r="Q163" s="371"/>
    </row>
    <row r="164" spans="2:22" ht="32.25" thickBot="1" x14ac:dyDescent="0.3">
      <c r="B164" s="62" t="s">
        <v>172</v>
      </c>
      <c r="C164" s="67" t="s">
        <v>295</v>
      </c>
      <c r="D164" s="190" t="s">
        <v>116</v>
      </c>
      <c r="E164" s="190" t="s">
        <v>116</v>
      </c>
      <c r="F164" s="190" t="s">
        <v>116</v>
      </c>
      <c r="G164" s="69" t="s">
        <v>280</v>
      </c>
      <c r="H164" s="190" t="s">
        <v>116</v>
      </c>
      <c r="I164" s="67" t="s">
        <v>116</v>
      </c>
      <c r="J164" s="193" t="s">
        <v>116</v>
      </c>
      <c r="K164" s="62" t="s">
        <v>116</v>
      </c>
      <c r="L164" s="65" t="s">
        <v>199</v>
      </c>
      <c r="M164" s="68">
        <f t="shared" si="9"/>
        <v>21846.978999999999</v>
      </c>
      <c r="N164" s="237">
        <v>21596.978999999999</v>
      </c>
      <c r="O164" s="219">
        <f>O169</f>
        <v>0</v>
      </c>
      <c r="P164" s="237">
        <f>P169</f>
        <v>250</v>
      </c>
      <c r="Q164" s="251">
        <v>0</v>
      </c>
      <c r="U164" s="37">
        <v>16792.98</v>
      </c>
      <c r="V164" s="51">
        <f>N164-U164</f>
        <v>4803.9989999999998</v>
      </c>
    </row>
    <row r="165" spans="2:22" ht="52.5" customHeight="1" x14ac:dyDescent="0.25">
      <c r="B165" s="62" t="s">
        <v>172</v>
      </c>
      <c r="C165" s="67" t="s">
        <v>295</v>
      </c>
      <c r="D165" s="190">
        <v>801</v>
      </c>
      <c r="E165" s="67" t="s">
        <v>533</v>
      </c>
      <c r="F165" s="190" t="s">
        <v>411</v>
      </c>
      <c r="G165" s="70" t="s">
        <v>410</v>
      </c>
      <c r="H165" s="75" t="s">
        <v>412</v>
      </c>
      <c r="I165" s="67" t="s">
        <v>240</v>
      </c>
      <c r="J165" s="193">
        <v>2</v>
      </c>
      <c r="K165" s="62" t="s">
        <v>363</v>
      </c>
      <c r="L165" s="65" t="s">
        <v>199</v>
      </c>
      <c r="M165" s="68">
        <f t="shared" si="9"/>
        <v>15884.477999999999</v>
      </c>
      <c r="N165" s="236">
        <f>15408.749+475.729</f>
        <v>15884.477999999999</v>
      </c>
      <c r="O165" s="323">
        <v>0</v>
      </c>
      <c r="P165" s="236">
        <v>0</v>
      </c>
      <c r="Q165" s="365"/>
    </row>
    <row r="166" spans="2:22" ht="52.5" customHeight="1" x14ac:dyDescent="0.25">
      <c r="B166" s="62" t="s">
        <v>172</v>
      </c>
      <c r="C166" s="67" t="s">
        <v>295</v>
      </c>
      <c r="D166" s="190">
        <v>801</v>
      </c>
      <c r="E166" s="67" t="s">
        <v>533</v>
      </c>
      <c r="F166" s="190" t="s">
        <v>411</v>
      </c>
      <c r="G166" s="71" t="s">
        <v>551</v>
      </c>
      <c r="H166" s="75" t="s">
        <v>552</v>
      </c>
      <c r="I166" s="67" t="s">
        <v>240</v>
      </c>
      <c r="J166" s="193" t="s">
        <v>556</v>
      </c>
      <c r="K166" s="62" t="s">
        <v>363</v>
      </c>
      <c r="L166" s="65"/>
      <c r="M166" s="68">
        <f t="shared" si="9"/>
        <v>640.5</v>
      </c>
      <c r="N166" s="236">
        <v>640.5</v>
      </c>
      <c r="O166" s="323">
        <v>0</v>
      </c>
      <c r="P166" s="236">
        <v>0</v>
      </c>
      <c r="Q166" s="272"/>
    </row>
    <row r="167" spans="2:22" ht="41.25" customHeight="1" x14ac:dyDescent="0.25">
      <c r="B167" s="62" t="s">
        <v>172</v>
      </c>
      <c r="C167" s="67" t="s">
        <v>295</v>
      </c>
      <c r="D167" s="190">
        <v>801</v>
      </c>
      <c r="E167" s="185">
        <v>27302165</v>
      </c>
      <c r="F167" s="190" t="s">
        <v>422</v>
      </c>
      <c r="G167" s="71" t="s">
        <v>485</v>
      </c>
      <c r="H167" s="75" t="s">
        <v>486</v>
      </c>
      <c r="I167" s="67" t="s">
        <v>240</v>
      </c>
      <c r="J167" s="193">
        <v>1</v>
      </c>
      <c r="K167" s="62" t="s">
        <v>364</v>
      </c>
      <c r="L167" s="65"/>
      <c r="M167" s="68">
        <f t="shared" si="9"/>
        <v>258</v>
      </c>
      <c r="N167" s="236">
        <v>258</v>
      </c>
      <c r="O167" s="323">
        <v>0</v>
      </c>
      <c r="P167" s="236">
        <v>0</v>
      </c>
      <c r="Q167" s="272"/>
    </row>
    <row r="168" spans="2:22" ht="41.25" customHeight="1" x14ac:dyDescent="0.25">
      <c r="B168" s="62" t="s">
        <v>172</v>
      </c>
      <c r="C168" s="67" t="s">
        <v>295</v>
      </c>
      <c r="D168" s="190">
        <v>801</v>
      </c>
      <c r="E168" s="67">
        <v>27301835</v>
      </c>
      <c r="F168" s="190" t="s">
        <v>419</v>
      </c>
      <c r="G168" s="71" t="s">
        <v>644</v>
      </c>
      <c r="H168" s="75" t="s">
        <v>645</v>
      </c>
      <c r="I168" s="67" t="s">
        <v>240</v>
      </c>
      <c r="J168" s="193">
        <v>1</v>
      </c>
      <c r="K168" s="62" t="s">
        <v>363</v>
      </c>
      <c r="L168" s="65"/>
      <c r="M168" s="68"/>
      <c r="N168" s="236">
        <v>10</v>
      </c>
      <c r="O168" s="323"/>
      <c r="P168" s="236"/>
      <c r="Q168" s="272"/>
    </row>
    <row r="169" spans="2:22" ht="61.5" customHeight="1" thickBot="1" x14ac:dyDescent="0.3">
      <c r="B169" s="336" t="s">
        <v>172</v>
      </c>
      <c r="C169" s="339" t="s">
        <v>295</v>
      </c>
      <c r="D169" s="340">
        <v>801</v>
      </c>
      <c r="E169" s="399">
        <v>27301829</v>
      </c>
      <c r="F169" s="340" t="s">
        <v>426</v>
      </c>
      <c r="G169" s="295" t="s">
        <v>427</v>
      </c>
      <c r="H169" s="293" t="s">
        <v>428</v>
      </c>
      <c r="I169" s="339" t="s">
        <v>240</v>
      </c>
      <c r="J169" s="297">
        <v>10</v>
      </c>
      <c r="K169" s="336" t="s">
        <v>364</v>
      </c>
      <c r="L169" s="337" t="s">
        <v>199</v>
      </c>
      <c r="M169" s="389">
        <f>N169+O169+P169</f>
        <v>250</v>
      </c>
      <c r="N169" s="380">
        <v>0</v>
      </c>
      <c r="O169" s="357">
        <v>0</v>
      </c>
      <c r="P169" s="380">
        <v>250</v>
      </c>
      <c r="Q169" s="272"/>
    </row>
    <row r="170" spans="2:22" ht="54.75" customHeight="1" x14ac:dyDescent="0.25">
      <c r="B170" s="1050" t="s">
        <v>173</v>
      </c>
      <c r="C170" s="1068">
        <v>40404</v>
      </c>
      <c r="D170" s="1055" t="s">
        <v>116</v>
      </c>
      <c r="E170" s="1055" t="s">
        <v>116</v>
      </c>
      <c r="F170" s="1112" t="s">
        <v>116</v>
      </c>
      <c r="G170" s="1079" t="s">
        <v>284</v>
      </c>
      <c r="H170" s="75" t="s">
        <v>221</v>
      </c>
      <c r="I170" s="67" t="s">
        <v>241</v>
      </c>
      <c r="J170" s="193" t="s">
        <v>222</v>
      </c>
      <c r="K170" s="1050" t="s">
        <v>363</v>
      </c>
      <c r="L170" s="65" t="s">
        <v>199</v>
      </c>
      <c r="M170" s="68">
        <f>M175+M225+M231+M234+M243</f>
        <v>250331.33799999999</v>
      </c>
      <c r="N170" s="1077">
        <f>N175+N225+N231+N234+N243+N255</f>
        <v>124393.97108</v>
      </c>
      <c r="O170" s="1066">
        <f>O175+O225+O231+O234+O243+O255</f>
        <v>96909.721000000005</v>
      </c>
      <c r="P170" s="1077">
        <f>P175+P225+P231+P234+P243+P255</f>
        <v>78739.774999999994</v>
      </c>
      <c r="Q170" s="1135">
        <f>Q175+Q225+Q231+Q234+Q243+Q255</f>
        <v>81622.464999999997</v>
      </c>
    </row>
    <row r="171" spans="2:22" ht="64.5" customHeight="1" x14ac:dyDescent="0.25">
      <c r="B171" s="1023"/>
      <c r="C171" s="1069"/>
      <c r="D171" s="1053"/>
      <c r="E171" s="1053"/>
      <c r="F171" s="1100"/>
      <c r="G171" s="1080"/>
      <c r="H171" s="75" t="s">
        <v>256</v>
      </c>
      <c r="I171" s="67" t="s">
        <v>241</v>
      </c>
      <c r="J171" s="193">
        <v>15123</v>
      </c>
      <c r="K171" s="1023"/>
      <c r="L171" s="65"/>
      <c r="M171" s="68"/>
      <c r="N171" s="1078"/>
      <c r="O171" s="1067"/>
      <c r="P171" s="1078"/>
      <c r="Q171" s="1109"/>
    </row>
    <row r="172" spans="2:22" ht="54" customHeight="1" x14ac:dyDescent="0.25">
      <c r="B172" s="1023"/>
      <c r="C172" s="1069"/>
      <c r="D172" s="1053"/>
      <c r="E172" s="1053"/>
      <c r="F172" s="1100"/>
      <c r="G172" s="1080"/>
      <c r="H172" s="75" t="s">
        <v>257</v>
      </c>
      <c r="I172" s="67" t="s">
        <v>242</v>
      </c>
      <c r="J172" s="193" t="s">
        <v>607</v>
      </c>
      <c r="K172" s="1023"/>
      <c r="L172" s="65"/>
      <c r="M172" s="68"/>
      <c r="N172" s="1078"/>
      <c r="O172" s="1067"/>
      <c r="P172" s="1078"/>
      <c r="Q172" s="1109"/>
    </row>
    <row r="173" spans="2:22" ht="83.25" customHeight="1" x14ac:dyDescent="0.25">
      <c r="B173" s="1023"/>
      <c r="C173" s="1069"/>
      <c r="D173" s="1053"/>
      <c r="E173" s="1053"/>
      <c r="F173" s="1100"/>
      <c r="G173" s="1080"/>
      <c r="H173" s="75" t="s">
        <v>254</v>
      </c>
      <c r="I173" s="67" t="s">
        <v>240</v>
      </c>
      <c r="J173" s="193">
        <v>1</v>
      </c>
      <c r="K173" s="1023"/>
      <c r="L173" s="65"/>
      <c r="M173" s="68"/>
      <c r="N173" s="1078"/>
      <c r="O173" s="1067"/>
      <c r="P173" s="1078"/>
      <c r="Q173" s="1109"/>
    </row>
    <row r="174" spans="2:22" ht="84.75" customHeight="1" thickBot="1" x14ac:dyDescent="0.3">
      <c r="B174" s="1051"/>
      <c r="C174" s="1070"/>
      <c r="D174" s="1054"/>
      <c r="E174" s="1054"/>
      <c r="F174" s="1113"/>
      <c r="G174" s="1081"/>
      <c r="H174" s="75" t="s">
        <v>527</v>
      </c>
      <c r="I174" s="67" t="s">
        <v>240</v>
      </c>
      <c r="J174" s="193">
        <v>1</v>
      </c>
      <c r="K174" s="1051"/>
      <c r="L174" s="65"/>
      <c r="M174" s="68"/>
      <c r="N174" s="1078"/>
      <c r="O174" s="1067"/>
      <c r="P174" s="1078"/>
      <c r="Q174" s="1109"/>
    </row>
    <row r="175" spans="2:22" ht="68.25" customHeight="1" thickBot="1" x14ac:dyDescent="0.3">
      <c r="B175" s="62" t="s">
        <v>173</v>
      </c>
      <c r="C175" s="67">
        <v>40404</v>
      </c>
      <c r="D175" s="190">
        <v>801</v>
      </c>
      <c r="E175" s="190">
        <v>27300364</v>
      </c>
      <c r="F175" s="190" t="s">
        <v>192</v>
      </c>
      <c r="G175" s="69" t="s">
        <v>585</v>
      </c>
      <c r="H175" s="75" t="s">
        <v>221</v>
      </c>
      <c r="I175" s="68" t="s">
        <v>241</v>
      </c>
      <c r="J175" s="193" t="s">
        <v>222</v>
      </c>
      <c r="K175" s="62" t="s">
        <v>363</v>
      </c>
      <c r="L175" s="65" t="s">
        <v>199</v>
      </c>
      <c r="M175" s="68">
        <f>N175+O175+P175</f>
        <v>6000</v>
      </c>
      <c r="N175" s="261">
        <f>SUM(N176:N204)</f>
        <v>2000</v>
      </c>
      <c r="O175" s="358">
        <f>SUM(O176:O204)</f>
        <v>2000</v>
      </c>
      <c r="P175" s="261">
        <f>SUM(P176:P204)</f>
        <v>2000</v>
      </c>
      <c r="Q175" s="251">
        <v>2000</v>
      </c>
    </row>
    <row r="176" spans="2:22" ht="63" hidden="1" customHeight="1" x14ac:dyDescent="0.25">
      <c r="B176" s="62" t="s">
        <v>173</v>
      </c>
      <c r="C176" s="67">
        <v>40404</v>
      </c>
      <c r="D176" s="190">
        <v>801</v>
      </c>
      <c r="E176" s="190">
        <v>27300364</v>
      </c>
      <c r="F176" s="190" t="s">
        <v>192</v>
      </c>
      <c r="G176" s="91" t="s">
        <v>299</v>
      </c>
      <c r="H176" s="75" t="s">
        <v>221</v>
      </c>
      <c r="I176" s="68" t="s">
        <v>241</v>
      </c>
      <c r="J176" s="193" t="s">
        <v>300</v>
      </c>
      <c r="K176" s="62" t="s">
        <v>362</v>
      </c>
      <c r="L176" s="65" t="s">
        <v>199</v>
      </c>
      <c r="M176" s="68">
        <v>0</v>
      </c>
      <c r="N176" s="270">
        <v>0</v>
      </c>
      <c r="O176" s="356">
        <v>0</v>
      </c>
      <c r="P176" s="270">
        <v>0</v>
      </c>
      <c r="Q176" s="365"/>
    </row>
    <row r="177" spans="2:17" ht="63" hidden="1" customHeight="1" x14ac:dyDescent="0.25">
      <c r="B177" s="62" t="s">
        <v>173</v>
      </c>
      <c r="C177" s="67">
        <v>40404</v>
      </c>
      <c r="D177" s="190">
        <v>801</v>
      </c>
      <c r="E177" s="190">
        <v>27300364</v>
      </c>
      <c r="F177" s="190" t="s">
        <v>192</v>
      </c>
      <c r="G177" s="91" t="s">
        <v>301</v>
      </c>
      <c r="H177" s="75" t="s">
        <v>221</v>
      </c>
      <c r="I177" s="68" t="s">
        <v>241</v>
      </c>
      <c r="J177" s="193" t="s">
        <v>302</v>
      </c>
      <c r="K177" s="62" t="s">
        <v>363</v>
      </c>
      <c r="L177" s="65" t="s">
        <v>199</v>
      </c>
      <c r="M177" s="68">
        <v>0</v>
      </c>
      <c r="N177" s="236">
        <v>0</v>
      </c>
      <c r="O177" s="323">
        <v>0</v>
      </c>
      <c r="P177" s="236">
        <v>0</v>
      </c>
      <c r="Q177" s="272"/>
    </row>
    <row r="178" spans="2:17" ht="63" hidden="1" customHeight="1" x14ac:dyDescent="0.25">
      <c r="B178" s="62" t="s">
        <v>173</v>
      </c>
      <c r="C178" s="67">
        <v>40404</v>
      </c>
      <c r="D178" s="190">
        <v>801</v>
      </c>
      <c r="E178" s="190">
        <v>27300364</v>
      </c>
      <c r="F178" s="190" t="s">
        <v>192</v>
      </c>
      <c r="G178" s="92" t="s">
        <v>303</v>
      </c>
      <c r="H178" s="75" t="s">
        <v>221</v>
      </c>
      <c r="I178" s="68" t="s">
        <v>241</v>
      </c>
      <c r="J178" s="193" t="s">
        <v>304</v>
      </c>
      <c r="K178" s="62" t="s">
        <v>362</v>
      </c>
      <c r="L178" s="65" t="s">
        <v>199</v>
      </c>
      <c r="M178" s="68">
        <v>0</v>
      </c>
      <c r="N178" s="236">
        <v>0</v>
      </c>
      <c r="O178" s="323">
        <v>0</v>
      </c>
      <c r="P178" s="236">
        <v>0</v>
      </c>
      <c r="Q178" s="272"/>
    </row>
    <row r="179" spans="2:17" ht="63" hidden="1" customHeight="1" x14ac:dyDescent="0.25">
      <c r="B179" s="62" t="s">
        <v>173</v>
      </c>
      <c r="C179" s="67">
        <v>40404</v>
      </c>
      <c r="D179" s="190">
        <v>801</v>
      </c>
      <c r="E179" s="190">
        <v>27300364</v>
      </c>
      <c r="F179" s="190" t="s">
        <v>192</v>
      </c>
      <c r="G179" s="70" t="s">
        <v>305</v>
      </c>
      <c r="H179" s="75" t="s">
        <v>221</v>
      </c>
      <c r="I179" s="68" t="s">
        <v>241</v>
      </c>
      <c r="J179" s="193" t="s">
        <v>306</v>
      </c>
      <c r="K179" s="62" t="s">
        <v>363</v>
      </c>
      <c r="L179" s="65" t="s">
        <v>199</v>
      </c>
      <c r="M179" s="68">
        <v>0</v>
      </c>
      <c r="N179" s="236">
        <v>0</v>
      </c>
      <c r="O179" s="323">
        <v>0</v>
      </c>
      <c r="P179" s="236">
        <v>0</v>
      </c>
      <c r="Q179" s="272"/>
    </row>
    <row r="180" spans="2:17" ht="63" hidden="1" customHeight="1" x14ac:dyDescent="0.25">
      <c r="B180" s="62" t="s">
        <v>173</v>
      </c>
      <c r="C180" s="67">
        <v>40404</v>
      </c>
      <c r="D180" s="190">
        <v>801</v>
      </c>
      <c r="E180" s="190">
        <v>27300364</v>
      </c>
      <c r="F180" s="190" t="s">
        <v>192</v>
      </c>
      <c r="G180" s="70" t="s">
        <v>307</v>
      </c>
      <c r="H180" s="75" t="s">
        <v>221</v>
      </c>
      <c r="I180" s="68" t="s">
        <v>241</v>
      </c>
      <c r="J180" s="193" t="s">
        <v>308</v>
      </c>
      <c r="K180" s="62" t="s">
        <v>364</v>
      </c>
      <c r="L180" s="65" t="s">
        <v>199</v>
      </c>
      <c r="M180" s="68">
        <v>0</v>
      </c>
      <c r="N180" s="236">
        <v>0</v>
      </c>
      <c r="O180" s="323">
        <v>0</v>
      </c>
      <c r="P180" s="236">
        <v>0</v>
      </c>
      <c r="Q180" s="272"/>
    </row>
    <row r="181" spans="2:17" ht="50.25" customHeight="1" x14ac:dyDescent="0.25">
      <c r="B181" s="62" t="s">
        <v>173</v>
      </c>
      <c r="C181" s="67">
        <v>40404</v>
      </c>
      <c r="D181" s="190">
        <v>801</v>
      </c>
      <c r="E181" s="190">
        <v>27300364</v>
      </c>
      <c r="F181" s="190" t="s">
        <v>192</v>
      </c>
      <c r="G181" s="70" t="s">
        <v>309</v>
      </c>
      <c r="H181" s="75" t="s">
        <v>221</v>
      </c>
      <c r="I181" s="68" t="s">
        <v>241</v>
      </c>
      <c r="J181" s="193" t="s">
        <v>310</v>
      </c>
      <c r="K181" s="62" t="s">
        <v>363</v>
      </c>
      <c r="L181" s="65" t="s">
        <v>199</v>
      </c>
      <c r="M181" s="68">
        <f>N181+O181+P181</f>
        <v>1650</v>
      </c>
      <c r="N181" s="236">
        <v>550</v>
      </c>
      <c r="O181" s="323">
        <v>550</v>
      </c>
      <c r="P181" s="236">
        <v>550</v>
      </c>
      <c r="Q181" s="77">
        <v>550</v>
      </c>
    </row>
    <row r="182" spans="2:17" ht="63" hidden="1" customHeight="1" x14ac:dyDescent="0.25">
      <c r="B182" s="62" t="s">
        <v>173</v>
      </c>
      <c r="C182" s="67">
        <v>40404</v>
      </c>
      <c r="D182" s="190">
        <v>801</v>
      </c>
      <c r="E182" s="190">
        <v>27300364</v>
      </c>
      <c r="F182" s="190" t="s">
        <v>192</v>
      </c>
      <c r="G182" s="70" t="s">
        <v>311</v>
      </c>
      <c r="H182" s="75" t="s">
        <v>221</v>
      </c>
      <c r="I182" s="68" t="s">
        <v>241</v>
      </c>
      <c r="J182" s="193" t="s">
        <v>312</v>
      </c>
      <c r="K182" s="62" t="s">
        <v>362</v>
      </c>
      <c r="L182" s="65" t="s">
        <v>199</v>
      </c>
      <c r="M182" s="68">
        <v>0</v>
      </c>
      <c r="N182" s="236">
        <v>0</v>
      </c>
      <c r="O182" s="323">
        <v>0</v>
      </c>
      <c r="P182" s="236">
        <v>0</v>
      </c>
      <c r="Q182" s="77">
        <v>0</v>
      </c>
    </row>
    <row r="183" spans="2:17" ht="63" hidden="1" customHeight="1" x14ac:dyDescent="0.25">
      <c r="B183" s="62" t="s">
        <v>173</v>
      </c>
      <c r="C183" s="67">
        <v>40404</v>
      </c>
      <c r="D183" s="190">
        <v>801</v>
      </c>
      <c r="E183" s="190">
        <v>27300364</v>
      </c>
      <c r="F183" s="190" t="s">
        <v>192</v>
      </c>
      <c r="G183" s="70" t="s">
        <v>313</v>
      </c>
      <c r="H183" s="75" t="s">
        <v>221</v>
      </c>
      <c r="I183" s="68" t="s">
        <v>241</v>
      </c>
      <c r="J183" s="193" t="s">
        <v>314</v>
      </c>
      <c r="K183" s="62" t="s">
        <v>364</v>
      </c>
      <c r="L183" s="65" t="s">
        <v>199</v>
      </c>
      <c r="M183" s="68">
        <v>0</v>
      </c>
      <c r="N183" s="236">
        <v>0</v>
      </c>
      <c r="O183" s="323">
        <v>0</v>
      </c>
      <c r="P183" s="236">
        <v>0</v>
      </c>
      <c r="Q183" s="77">
        <v>0</v>
      </c>
    </row>
    <row r="184" spans="2:17" ht="63" hidden="1" customHeight="1" x14ac:dyDescent="0.25">
      <c r="B184" s="62" t="s">
        <v>173</v>
      </c>
      <c r="C184" s="67">
        <v>40404</v>
      </c>
      <c r="D184" s="190">
        <v>801</v>
      </c>
      <c r="E184" s="190">
        <v>27300364</v>
      </c>
      <c r="F184" s="190" t="s">
        <v>192</v>
      </c>
      <c r="G184" s="70" t="s">
        <v>315</v>
      </c>
      <c r="H184" s="75" t="s">
        <v>221</v>
      </c>
      <c r="I184" s="68" t="s">
        <v>241</v>
      </c>
      <c r="J184" s="193" t="s">
        <v>316</v>
      </c>
      <c r="K184" s="62" t="s">
        <v>364</v>
      </c>
      <c r="L184" s="65" t="s">
        <v>199</v>
      </c>
      <c r="M184" s="68">
        <v>0</v>
      </c>
      <c r="N184" s="236">
        <v>0</v>
      </c>
      <c r="O184" s="323">
        <v>0</v>
      </c>
      <c r="P184" s="236">
        <v>0</v>
      </c>
      <c r="Q184" s="77">
        <v>0</v>
      </c>
    </row>
    <row r="185" spans="2:17" ht="63" hidden="1" customHeight="1" x14ac:dyDescent="0.25">
      <c r="B185" s="62" t="s">
        <v>173</v>
      </c>
      <c r="C185" s="67">
        <v>40404</v>
      </c>
      <c r="D185" s="190">
        <v>801</v>
      </c>
      <c r="E185" s="190">
        <v>27300364</v>
      </c>
      <c r="F185" s="190" t="s">
        <v>192</v>
      </c>
      <c r="G185" s="70" t="s">
        <v>317</v>
      </c>
      <c r="H185" s="75" t="s">
        <v>221</v>
      </c>
      <c r="I185" s="68" t="s">
        <v>241</v>
      </c>
      <c r="J185" s="193" t="s">
        <v>318</v>
      </c>
      <c r="K185" s="62" t="s">
        <v>363</v>
      </c>
      <c r="L185" s="65" t="s">
        <v>199</v>
      </c>
      <c r="M185" s="68">
        <v>0</v>
      </c>
      <c r="N185" s="236">
        <v>0</v>
      </c>
      <c r="O185" s="323">
        <v>0</v>
      </c>
      <c r="P185" s="236">
        <v>0</v>
      </c>
      <c r="Q185" s="77">
        <v>0</v>
      </c>
    </row>
    <row r="186" spans="2:17" ht="78.75" hidden="1" customHeight="1" x14ac:dyDescent="0.25">
      <c r="B186" s="62" t="s">
        <v>173</v>
      </c>
      <c r="C186" s="67">
        <v>40404</v>
      </c>
      <c r="D186" s="190">
        <v>801</v>
      </c>
      <c r="E186" s="190">
        <v>27300364</v>
      </c>
      <c r="F186" s="190" t="s">
        <v>192</v>
      </c>
      <c r="G186" s="70" t="s">
        <v>319</v>
      </c>
      <c r="H186" s="75" t="s">
        <v>221</v>
      </c>
      <c r="I186" s="68" t="s">
        <v>241</v>
      </c>
      <c r="J186" s="193" t="s">
        <v>320</v>
      </c>
      <c r="K186" s="62" t="s">
        <v>364</v>
      </c>
      <c r="L186" s="65" t="s">
        <v>199</v>
      </c>
      <c r="M186" s="68">
        <v>0</v>
      </c>
      <c r="N186" s="236">
        <v>0</v>
      </c>
      <c r="O186" s="323">
        <v>0</v>
      </c>
      <c r="P186" s="236">
        <v>0</v>
      </c>
      <c r="Q186" s="77">
        <v>0</v>
      </c>
    </row>
    <row r="187" spans="2:17" ht="63" hidden="1" customHeight="1" x14ac:dyDescent="0.25">
      <c r="B187" s="62" t="s">
        <v>173</v>
      </c>
      <c r="C187" s="67">
        <v>40404</v>
      </c>
      <c r="D187" s="190">
        <v>801</v>
      </c>
      <c r="E187" s="190">
        <v>27300364</v>
      </c>
      <c r="F187" s="190" t="s">
        <v>192</v>
      </c>
      <c r="G187" s="70" t="s">
        <v>321</v>
      </c>
      <c r="H187" s="75" t="s">
        <v>221</v>
      </c>
      <c r="I187" s="68" t="s">
        <v>241</v>
      </c>
      <c r="J187" s="193" t="s">
        <v>322</v>
      </c>
      <c r="K187" s="62" t="s">
        <v>363</v>
      </c>
      <c r="L187" s="65" t="s">
        <v>199</v>
      </c>
      <c r="M187" s="68">
        <v>0</v>
      </c>
      <c r="N187" s="236">
        <v>0</v>
      </c>
      <c r="O187" s="323">
        <v>0</v>
      </c>
      <c r="P187" s="236">
        <v>0</v>
      </c>
      <c r="Q187" s="77">
        <v>0</v>
      </c>
    </row>
    <row r="188" spans="2:17" ht="50.25" customHeight="1" x14ac:dyDescent="0.25">
      <c r="B188" s="62" t="s">
        <v>173</v>
      </c>
      <c r="C188" s="67">
        <v>40404</v>
      </c>
      <c r="D188" s="190">
        <v>801</v>
      </c>
      <c r="E188" s="190">
        <v>27300364</v>
      </c>
      <c r="F188" s="190" t="s">
        <v>192</v>
      </c>
      <c r="G188" s="70" t="s">
        <v>323</v>
      </c>
      <c r="H188" s="75" t="s">
        <v>221</v>
      </c>
      <c r="I188" s="68" t="s">
        <v>241</v>
      </c>
      <c r="J188" s="193" t="s">
        <v>324</v>
      </c>
      <c r="K188" s="62" t="s">
        <v>363</v>
      </c>
      <c r="L188" s="65" t="s">
        <v>199</v>
      </c>
      <c r="M188" s="68">
        <f>N188+O188+P188</f>
        <v>840</v>
      </c>
      <c r="N188" s="236">
        <v>280</v>
      </c>
      <c r="O188" s="323">
        <v>280</v>
      </c>
      <c r="P188" s="236">
        <v>280</v>
      </c>
      <c r="Q188" s="77">
        <v>280</v>
      </c>
    </row>
    <row r="189" spans="2:17" ht="51.75" customHeight="1" x14ac:dyDescent="0.25">
      <c r="B189" s="62" t="s">
        <v>173</v>
      </c>
      <c r="C189" s="67">
        <v>40404</v>
      </c>
      <c r="D189" s="190">
        <v>801</v>
      </c>
      <c r="E189" s="190">
        <v>27300364</v>
      </c>
      <c r="F189" s="190" t="s">
        <v>192</v>
      </c>
      <c r="G189" s="70" t="s">
        <v>325</v>
      </c>
      <c r="H189" s="75" t="s">
        <v>221</v>
      </c>
      <c r="I189" s="68" t="s">
        <v>241</v>
      </c>
      <c r="J189" s="193" t="s">
        <v>326</v>
      </c>
      <c r="K189" s="62" t="s">
        <v>363</v>
      </c>
      <c r="L189" s="65" t="s">
        <v>199</v>
      </c>
      <c r="M189" s="68">
        <f>N189+O189+P189</f>
        <v>1050</v>
      </c>
      <c r="N189" s="236">
        <v>350</v>
      </c>
      <c r="O189" s="323">
        <v>350</v>
      </c>
      <c r="P189" s="236">
        <v>350</v>
      </c>
      <c r="Q189" s="77">
        <v>350</v>
      </c>
    </row>
    <row r="190" spans="2:17" ht="63" hidden="1" customHeight="1" x14ac:dyDescent="0.25">
      <c r="B190" s="62" t="s">
        <v>173</v>
      </c>
      <c r="C190" s="67">
        <v>40404</v>
      </c>
      <c r="D190" s="190">
        <v>801</v>
      </c>
      <c r="E190" s="190">
        <v>27300364</v>
      </c>
      <c r="F190" s="190" t="s">
        <v>192</v>
      </c>
      <c r="G190" s="70" t="s">
        <v>327</v>
      </c>
      <c r="H190" s="75" t="s">
        <v>221</v>
      </c>
      <c r="I190" s="68" t="s">
        <v>241</v>
      </c>
      <c r="J190" s="193" t="s">
        <v>328</v>
      </c>
      <c r="K190" s="62" t="s">
        <v>364</v>
      </c>
      <c r="L190" s="65" t="s">
        <v>199</v>
      </c>
      <c r="M190" s="68">
        <v>0</v>
      </c>
      <c r="N190" s="236">
        <v>0</v>
      </c>
      <c r="O190" s="323">
        <v>0</v>
      </c>
      <c r="P190" s="236">
        <v>0</v>
      </c>
      <c r="Q190" s="77">
        <v>0</v>
      </c>
    </row>
    <row r="191" spans="2:17" ht="63" hidden="1" customHeight="1" x14ac:dyDescent="0.25">
      <c r="B191" s="62" t="s">
        <v>173</v>
      </c>
      <c r="C191" s="67">
        <v>40404</v>
      </c>
      <c r="D191" s="190">
        <v>801</v>
      </c>
      <c r="E191" s="190">
        <v>27300364</v>
      </c>
      <c r="F191" s="190" t="s">
        <v>192</v>
      </c>
      <c r="G191" s="70" t="s">
        <v>329</v>
      </c>
      <c r="H191" s="75" t="s">
        <v>221</v>
      </c>
      <c r="I191" s="68" t="s">
        <v>241</v>
      </c>
      <c r="J191" s="193" t="s">
        <v>330</v>
      </c>
      <c r="K191" s="62" t="s">
        <v>364</v>
      </c>
      <c r="L191" s="65" t="s">
        <v>199</v>
      </c>
      <c r="M191" s="68">
        <v>0</v>
      </c>
      <c r="N191" s="236">
        <v>0</v>
      </c>
      <c r="O191" s="323">
        <v>0</v>
      </c>
      <c r="P191" s="236">
        <v>0</v>
      </c>
      <c r="Q191" s="77">
        <v>0</v>
      </c>
    </row>
    <row r="192" spans="2:17" ht="63" hidden="1" customHeight="1" x14ac:dyDescent="0.25">
      <c r="B192" s="62" t="s">
        <v>173</v>
      </c>
      <c r="C192" s="67">
        <v>40404</v>
      </c>
      <c r="D192" s="190">
        <v>801</v>
      </c>
      <c r="E192" s="190">
        <v>27300364</v>
      </c>
      <c r="F192" s="190" t="s">
        <v>192</v>
      </c>
      <c r="G192" s="70" t="s">
        <v>331</v>
      </c>
      <c r="H192" s="75" t="s">
        <v>221</v>
      </c>
      <c r="I192" s="68" t="s">
        <v>241</v>
      </c>
      <c r="J192" s="193" t="s">
        <v>332</v>
      </c>
      <c r="K192" s="62" t="s">
        <v>363</v>
      </c>
      <c r="L192" s="65" t="s">
        <v>199</v>
      </c>
      <c r="M192" s="68">
        <v>0</v>
      </c>
      <c r="N192" s="236">
        <v>0</v>
      </c>
      <c r="O192" s="323">
        <v>0</v>
      </c>
      <c r="P192" s="236">
        <v>0</v>
      </c>
      <c r="Q192" s="77">
        <v>0</v>
      </c>
    </row>
    <row r="193" spans="2:17" ht="63" hidden="1" customHeight="1" x14ac:dyDescent="0.25">
      <c r="B193" s="62" t="s">
        <v>173</v>
      </c>
      <c r="C193" s="67">
        <v>40404</v>
      </c>
      <c r="D193" s="190">
        <v>801</v>
      </c>
      <c r="E193" s="190">
        <v>27300364</v>
      </c>
      <c r="F193" s="190" t="s">
        <v>192</v>
      </c>
      <c r="G193" s="70" t="s">
        <v>333</v>
      </c>
      <c r="H193" s="75" t="s">
        <v>221</v>
      </c>
      <c r="I193" s="68" t="s">
        <v>241</v>
      </c>
      <c r="J193" s="193" t="s">
        <v>334</v>
      </c>
      <c r="K193" s="62" t="s">
        <v>364</v>
      </c>
      <c r="L193" s="65" t="s">
        <v>199</v>
      </c>
      <c r="M193" s="68">
        <v>0</v>
      </c>
      <c r="N193" s="236">
        <v>0</v>
      </c>
      <c r="O193" s="323">
        <v>0</v>
      </c>
      <c r="P193" s="236">
        <v>0</v>
      </c>
      <c r="Q193" s="77">
        <v>0</v>
      </c>
    </row>
    <row r="194" spans="2:17" ht="63" hidden="1" customHeight="1" x14ac:dyDescent="0.25">
      <c r="B194" s="62" t="s">
        <v>173</v>
      </c>
      <c r="C194" s="67">
        <v>40404</v>
      </c>
      <c r="D194" s="190">
        <v>801</v>
      </c>
      <c r="E194" s="190">
        <v>27300364</v>
      </c>
      <c r="F194" s="190" t="s">
        <v>192</v>
      </c>
      <c r="G194" s="70" t="s">
        <v>335</v>
      </c>
      <c r="H194" s="75" t="s">
        <v>221</v>
      </c>
      <c r="I194" s="68" t="s">
        <v>241</v>
      </c>
      <c r="J194" s="193" t="s">
        <v>336</v>
      </c>
      <c r="K194" s="62" t="s">
        <v>362</v>
      </c>
      <c r="L194" s="65" t="s">
        <v>199</v>
      </c>
      <c r="M194" s="68">
        <v>0</v>
      </c>
      <c r="N194" s="236">
        <v>0</v>
      </c>
      <c r="O194" s="323">
        <v>0</v>
      </c>
      <c r="P194" s="236">
        <v>0</v>
      </c>
      <c r="Q194" s="77">
        <v>0</v>
      </c>
    </row>
    <row r="195" spans="2:17" ht="63" hidden="1" customHeight="1" x14ac:dyDescent="0.25">
      <c r="B195" s="62" t="s">
        <v>173</v>
      </c>
      <c r="C195" s="67">
        <v>40404</v>
      </c>
      <c r="D195" s="190">
        <v>801</v>
      </c>
      <c r="E195" s="190">
        <v>27300364</v>
      </c>
      <c r="F195" s="190" t="s">
        <v>192</v>
      </c>
      <c r="G195" s="70" t="s">
        <v>337</v>
      </c>
      <c r="H195" s="75" t="s">
        <v>221</v>
      </c>
      <c r="I195" s="68" t="s">
        <v>241</v>
      </c>
      <c r="J195" s="193" t="s">
        <v>338</v>
      </c>
      <c r="K195" s="62" t="s">
        <v>363</v>
      </c>
      <c r="L195" s="65" t="s">
        <v>199</v>
      </c>
      <c r="M195" s="68">
        <v>0</v>
      </c>
      <c r="N195" s="236">
        <v>0</v>
      </c>
      <c r="O195" s="323">
        <v>0</v>
      </c>
      <c r="P195" s="236">
        <v>0</v>
      </c>
      <c r="Q195" s="77">
        <v>0</v>
      </c>
    </row>
    <row r="196" spans="2:17" ht="63" hidden="1" customHeight="1" x14ac:dyDescent="0.25">
      <c r="B196" s="62" t="s">
        <v>173</v>
      </c>
      <c r="C196" s="67">
        <v>40404</v>
      </c>
      <c r="D196" s="190">
        <v>801</v>
      </c>
      <c r="E196" s="190">
        <v>27300364</v>
      </c>
      <c r="F196" s="190" t="s">
        <v>192</v>
      </c>
      <c r="G196" s="70" t="s">
        <v>339</v>
      </c>
      <c r="H196" s="75" t="s">
        <v>221</v>
      </c>
      <c r="I196" s="68" t="s">
        <v>241</v>
      </c>
      <c r="J196" s="193" t="s">
        <v>340</v>
      </c>
      <c r="K196" s="62" t="s">
        <v>362</v>
      </c>
      <c r="L196" s="65" t="s">
        <v>199</v>
      </c>
      <c r="M196" s="68">
        <v>0</v>
      </c>
      <c r="N196" s="236">
        <v>0</v>
      </c>
      <c r="O196" s="323">
        <v>0</v>
      </c>
      <c r="P196" s="236">
        <v>0</v>
      </c>
      <c r="Q196" s="77">
        <v>0</v>
      </c>
    </row>
    <row r="197" spans="2:17" ht="54" customHeight="1" x14ac:dyDescent="0.25">
      <c r="B197" s="62" t="s">
        <v>173</v>
      </c>
      <c r="C197" s="67">
        <v>40404</v>
      </c>
      <c r="D197" s="190">
        <v>801</v>
      </c>
      <c r="E197" s="190">
        <v>27300364</v>
      </c>
      <c r="F197" s="190" t="s">
        <v>192</v>
      </c>
      <c r="G197" s="70" t="s">
        <v>341</v>
      </c>
      <c r="H197" s="75" t="s">
        <v>221</v>
      </c>
      <c r="I197" s="68" t="s">
        <v>241</v>
      </c>
      <c r="J197" s="193" t="s">
        <v>342</v>
      </c>
      <c r="K197" s="62" t="s">
        <v>363</v>
      </c>
      <c r="L197" s="65" t="s">
        <v>199</v>
      </c>
      <c r="M197" s="68">
        <f>N197+O197+P197</f>
        <v>2460</v>
      </c>
      <c r="N197" s="236">
        <v>820</v>
      </c>
      <c r="O197" s="323">
        <v>820</v>
      </c>
      <c r="P197" s="236">
        <v>820</v>
      </c>
      <c r="Q197" s="77">
        <v>820</v>
      </c>
    </row>
    <row r="198" spans="2:17" ht="63" hidden="1" customHeight="1" x14ac:dyDescent="0.25">
      <c r="B198" s="62" t="s">
        <v>173</v>
      </c>
      <c r="C198" s="67">
        <v>40404</v>
      </c>
      <c r="D198" s="190">
        <v>801</v>
      </c>
      <c r="E198" s="190">
        <v>27300364</v>
      </c>
      <c r="F198" s="190" t="s">
        <v>192</v>
      </c>
      <c r="G198" s="70" t="s">
        <v>343</v>
      </c>
      <c r="H198" s="75" t="s">
        <v>221</v>
      </c>
      <c r="I198" s="67" t="s">
        <v>74</v>
      </c>
      <c r="J198" s="193" t="s">
        <v>344</v>
      </c>
      <c r="K198" s="62" t="s">
        <v>363</v>
      </c>
      <c r="L198" s="65" t="s">
        <v>199</v>
      </c>
      <c r="M198" s="68">
        <v>0</v>
      </c>
      <c r="N198" s="236">
        <v>0</v>
      </c>
      <c r="O198" s="323">
        <v>0</v>
      </c>
      <c r="P198" s="236">
        <v>0</v>
      </c>
      <c r="Q198" s="272"/>
    </row>
    <row r="199" spans="2:17" ht="63" hidden="1" customHeight="1" x14ac:dyDescent="0.25">
      <c r="B199" s="62" t="s">
        <v>173</v>
      </c>
      <c r="C199" s="67">
        <v>40404</v>
      </c>
      <c r="D199" s="190">
        <v>801</v>
      </c>
      <c r="E199" s="190">
        <v>27300364</v>
      </c>
      <c r="F199" s="190" t="s">
        <v>192</v>
      </c>
      <c r="G199" s="70" t="s">
        <v>345</v>
      </c>
      <c r="H199" s="75" t="s">
        <v>221</v>
      </c>
      <c r="I199" s="67" t="s">
        <v>74</v>
      </c>
      <c r="J199" s="193" t="s">
        <v>346</v>
      </c>
      <c r="K199" s="62" t="s">
        <v>364</v>
      </c>
      <c r="L199" s="65" t="s">
        <v>199</v>
      </c>
      <c r="M199" s="68">
        <v>0</v>
      </c>
      <c r="N199" s="236">
        <v>0</v>
      </c>
      <c r="O199" s="323">
        <v>0</v>
      </c>
      <c r="P199" s="236">
        <v>0</v>
      </c>
      <c r="Q199" s="272"/>
    </row>
    <row r="200" spans="2:17" ht="63" hidden="1" customHeight="1" x14ac:dyDescent="0.25">
      <c r="B200" s="62" t="s">
        <v>173</v>
      </c>
      <c r="C200" s="67">
        <v>40404</v>
      </c>
      <c r="D200" s="190">
        <v>801</v>
      </c>
      <c r="E200" s="190">
        <v>27300364</v>
      </c>
      <c r="F200" s="190" t="s">
        <v>192</v>
      </c>
      <c r="G200" s="70" t="s">
        <v>347</v>
      </c>
      <c r="H200" s="75" t="s">
        <v>221</v>
      </c>
      <c r="I200" s="67" t="s">
        <v>74</v>
      </c>
      <c r="J200" s="193" t="s">
        <v>348</v>
      </c>
      <c r="K200" s="62" t="s">
        <v>363</v>
      </c>
      <c r="L200" s="65" t="s">
        <v>199</v>
      </c>
      <c r="M200" s="68">
        <v>0</v>
      </c>
      <c r="N200" s="236">
        <v>0</v>
      </c>
      <c r="O200" s="323">
        <v>0</v>
      </c>
      <c r="P200" s="236">
        <v>0</v>
      </c>
      <c r="Q200" s="272"/>
    </row>
    <row r="201" spans="2:17" ht="63" hidden="1" customHeight="1" x14ac:dyDescent="0.25">
      <c r="B201" s="62" t="s">
        <v>173</v>
      </c>
      <c r="C201" s="67">
        <v>40404</v>
      </c>
      <c r="D201" s="190">
        <v>801</v>
      </c>
      <c r="E201" s="190">
        <v>27300364</v>
      </c>
      <c r="F201" s="190" t="s">
        <v>192</v>
      </c>
      <c r="G201" s="70" t="s">
        <v>349</v>
      </c>
      <c r="H201" s="75" t="s">
        <v>221</v>
      </c>
      <c r="I201" s="67" t="s">
        <v>74</v>
      </c>
      <c r="J201" s="193" t="s">
        <v>350</v>
      </c>
      <c r="K201" s="62" t="s">
        <v>363</v>
      </c>
      <c r="L201" s="65" t="s">
        <v>199</v>
      </c>
      <c r="M201" s="68">
        <v>0</v>
      </c>
      <c r="N201" s="236">
        <v>0</v>
      </c>
      <c r="O201" s="323">
        <v>0</v>
      </c>
      <c r="P201" s="236">
        <v>0</v>
      </c>
      <c r="Q201" s="272"/>
    </row>
    <row r="202" spans="2:17" ht="63" hidden="1" customHeight="1" x14ac:dyDescent="0.25">
      <c r="B202" s="62" t="s">
        <v>173</v>
      </c>
      <c r="C202" s="67">
        <v>40404</v>
      </c>
      <c r="D202" s="190">
        <v>801</v>
      </c>
      <c r="E202" s="190">
        <v>27300364</v>
      </c>
      <c r="F202" s="190" t="s">
        <v>192</v>
      </c>
      <c r="G202" s="70" t="s">
        <v>351</v>
      </c>
      <c r="H202" s="75" t="s">
        <v>221</v>
      </c>
      <c r="I202" s="67" t="s">
        <v>74</v>
      </c>
      <c r="J202" s="193" t="s">
        <v>352</v>
      </c>
      <c r="K202" s="62" t="s">
        <v>362</v>
      </c>
      <c r="L202" s="65" t="s">
        <v>199</v>
      </c>
      <c r="M202" s="68">
        <v>0</v>
      </c>
      <c r="N202" s="236">
        <v>0</v>
      </c>
      <c r="O202" s="323">
        <v>0</v>
      </c>
      <c r="P202" s="236">
        <v>0</v>
      </c>
      <c r="Q202" s="272"/>
    </row>
    <row r="203" spans="2:17" ht="63" hidden="1" customHeight="1" x14ac:dyDescent="0.25">
      <c r="B203" s="62" t="s">
        <v>173</v>
      </c>
      <c r="C203" s="67">
        <v>40404</v>
      </c>
      <c r="D203" s="190">
        <v>801</v>
      </c>
      <c r="E203" s="190">
        <v>27300364</v>
      </c>
      <c r="F203" s="190" t="s">
        <v>192</v>
      </c>
      <c r="G203" s="70" t="s">
        <v>353</v>
      </c>
      <c r="H203" s="75" t="s">
        <v>221</v>
      </c>
      <c r="I203" s="67" t="s">
        <v>74</v>
      </c>
      <c r="J203" s="193" t="s">
        <v>354</v>
      </c>
      <c r="K203" s="62" t="s">
        <v>364</v>
      </c>
      <c r="L203" s="65" t="s">
        <v>199</v>
      </c>
      <c r="M203" s="68">
        <v>0</v>
      </c>
      <c r="N203" s="236">
        <v>0</v>
      </c>
      <c r="O203" s="323">
        <v>0</v>
      </c>
      <c r="P203" s="236">
        <v>0</v>
      </c>
      <c r="Q203" s="272"/>
    </row>
    <row r="204" spans="2:17" ht="63" hidden="1" customHeight="1" thickBot="1" x14ac:dyDescent="0.3">
      <c r="B204" s="62" t="s">
        <v>173</v>
      </c>
      <c r="C204" s="67">
        <v>40404</v>
      </c>
      <c r="D204" s="190">
        <v>801</v>
      </c>
      <c r="E204" s="190">
        <v>27300364</v>
      </c>
      <c r="F204" s="190" t="s">
        <v>192</v>
      </c>
      <c r="G204" s="70" t="s">
        <v>355</v>
      </c>
      <c r="H204" s="75" t="s">
        <v>221</v>
      </c>
      <c r="I204" s="67" t="s">
        <v>74</v>
      </c>
      <c r="J204" s="193" t="s">
        <v>356</v>
      </c>
      <c r="K204" s="62" t="s">
        <v>364</v>
      </c>
      <c r="L204" s="65" t="s">
        <v>199</v>
      </c>
      <c r="M204" s="68">
        <v>0</v>
      </c>
      <c r="N204" s="236">
        <v>0</v>
      </c>
      <c r="O204" s="323">
        <v>0</v>
      </c>
      <c r="P204" s="236">
        <v>0</v>
      </c>
      <c r="Q204" s="273"/>
    </row>
    <row r="205" spans="2:17" ht="15.75" hidden="1" customHeight="1" x14ac:dyDescent="0.25">
      <c r="B205" s="62"/>
      <c r="C205" s="67"/>
      <c r="D205" s="190"/>
      <c r="E205" s="190"/>
      <c r="F205" s="190"/>
      <c r="G205" s="69"/>
      <c r="H205" s="75"/>
      <c r="I205" s="191"/>
      <c r="J205" s="193"/>
      <c r="K205" s="62"/>
      <c r="L205" s="65"/>
      <c r="M205" s="68"/>
      <c r="N205" s="236"/>
      <c r="O205" s="212"/>
      <c r="P205" s="381"/>
      <c r="Q205" s="365"/>
    </row>
    <row r="206" spans="2:17" ht="15.75" hidden="1" customHeight="1" x14ac:dyDescent="0.25">
      <c r="B206" s="62"/>
      <c r="C206" s="67"/>
      <c r="D206" s="190"/>
      <c r="E206" s="190"/>
      <c r="F206" s="190"/>
      <c r="G206" s="69"/>
      <c r="H206" s="75"/>
      <c r="I206" s="191"/>
      <c r="J206" s="193"/>
      <c r="K206" s="62"/>
      <c r="L206" s="65"/>
      <c r="M206" s="68"/>
      <c r="N206" s="236"/>
      <c r="O206" s="212"/>
      <c r="P206" s="381"/>
      <c r="Q206" s="272"/>
    </row>
    <row r="207" spans="2:17" ht="15.75" hidden="1" customHeight="1" x14ac:dyDescent="0.25">
      <c r="B207" s="62"/>
      <c r="C207" s="67"/>
      <c r="D207" s="190"/>
      <c r="E207" s="190"/>
      <c r="F207" s="190"/>
      <c r="G207" s="69"/>
      <c r="H207" s="75"/>
      <c r="I207" s="191"/>
      <c r="J207" s="193"/>
      <c r="K207" s="62"/>
      <c r="L207" s="65"/>
      <c r="M207" s="68"/>
      <c r="N207" s="236"/>
      <c r="O207" s="212"/>
      <c r="P207" s="381"/>
      <c r="Q207" s="272"/>
    </row>
    <row r="208" spans="2:17" ht="15.75" hidden="1" customHeight="1" x14ac:dyDescent="0.25">
      <c r="B208" s="62"/>
      <c r="C208" s="67"/>
      <c r="D208" s="190"/>
      <c r="E208" s="190"/>
      <c r="F208" s="190"/>
      <c r="G208" s="69"/>
      <c r="H208" s="75"/>
      <c r="I208" s="191"/>
      <c r="J208" s="193"/>
      <c r="K208" s="62"/>
      <c r="L208" s="65"/>
      <c r="M208" s="68"/>
      <c r="N208" s="236"/>
      <c r="O208" s="212"/>
      <c r="P208" s="381"/>
      <c r="Q208" s="272"/>
    </row>
    <row r="209" spans="2:17" ht="15.75" hidden="1" customHeight="1" x14ac:dyDescent="0.25">
      <c r="B209" s="62"/>
      <c r="C209" s="67"/>
      <c r="D209" s="190"/>
      <c r="E209" s="190"/>
      <c r="F209" s="190"/>
      <c r="G209" s="69"/>
      <c r="H209" s="75"/>
      <c r="I209" s="191"/>
      <c r="J209" s="193"/>
      <c r="K209" s="62"/>
      <c r="L209" s="65"/>
      <c r="M209" s="68"/>
      <c r="N209" s="236"/>
      <c r="O209" s="212"/>
      <c r="P209" s="381"/>
      <c r="Q209" s="272"/>
    </row>
    <row r="210" spans="2:17" ht="15.75" hidden="1" customHeight="1" x14ac:dyDescent="0.25">
      <c r="B210" s="62"/>
      <c r="C210" s="67"/>
      <c r="D210" s="190"/>
      <c r="E210" s="190"/>
      <c r="F210" s="190"/>
      <c r="G210" s="69"/>
      <c r="H210" s="75"/>
      <c r="I210" s="191"/>
      <c r="J210" s="193"/>
      <c r="K210" s="62"/>
      <c r="L210" s="65"/>
      <c r="M210" s="68"/>
      <c r="N210" s="236"/>
      <c r="O210" s="212"/>
      <c r="P210" s="381"/>
      <c r="Q210" s="272"/>
    </row>
    <row r="211" spans="2:17" ht="15.75" hidden="1" customHeight="1" x14ac:dyDescent="0.25">
      <c r="B211" s="62"/>
      <c r="C211" s="67"/>
      <c r="D211" s="190"/>
      <c r="E211" s="190"/>
      <c r="F211" s="190"/>
      <c r="G211" s="69"/>
      <c r="H211" s="75"/>
      <c r="I211" s="191"/>
      <c r="J211" s="193"/>
      <c r="K211" s="62"/>
      <c r="L211" s="65"/>
      <c r="M211" s="68"/>
      <c r="N211" s="236"/>
      <c r="O211" s="212"/>
      <c r="P211" s="381"/>
      <c r="Q211" s="272"/>
    </row>
    <row r="212" spans="2:17" ht="15.75" hidden="1" customHeight="1" x14ac:dyDescent="0.25">
      <c r="B212" s="62"/>
      <c r="C212" s="67"/>
      <c r="D212" s="190"/>
      <c r="E212" s="190"/>
      <c r="F212" s="190"/>
      <c r="G212" s="69"/>
      <c r="H212" s="75"/>
      <c r="I212" s="191"/>
      <c r="J212" s="193"/>
      <c r="K212" s="62"/>
      <c r="L212" s="65"/>
      <c r="M212" s="68"/>
      <c r="N212" s="236"/>
      <c r="O212" s="212"/>
      <c r="P212" s="381"/>
      <c r="Q212" s="272"/>
    </row>
    <row r="213" spans="2:17" ht="15.75" hidden="1" customHeight="1" x14ac:dyDescent="0.25">
      <c r="B213" s="62"/>
      <c r="C213" s="67"/>
      <c r="D213" s="190"/>
      <c r="E213" s="190"/>
      <c r="F213" s="190"/>
      <c r="G213" s="69"/>
      <c r="H213" s="75"/>
      <c r="I213" s="191"/>
      <c r="J213" s="193"/>
      <c r="K213" s="62"/>
      <c r="L213" s="65"/>
      <c r="M213" s="68"/>
      <c r="N213" s="236"/>
      <c r="O213" s="212"/>
      <c r="P213" s="381"/>
      <c r="Q213" s="272"/>
    </row>
    <row r="214" spans="2:17" ht="15.75" hidden="1" customHeight="1" x14ac:dyDescent="0.25">
      <c r="B214" s="62"/>
      <c r="C214" s="67"/>
      <c r="D214" s="190"/>
      <c r="E214" s="190"/>
      <c r="F214" s="190"/>
      <c r="G214" s="69"/>
      <c r="H214" s="75"/>
      <c r="I214" s="191"/>
      <c r="J214" s="193"/>
      <c r="K214" s="62"/>
      <c r="L214" s="65"/>
      <c r="M214" s="68"/>
      <c r="N214" s="236"/>
      <c r="O214" s="212"/>
      <c r="P214" s="381"/>
      <c r="Q214" s="272"/>
    </row>
    <row r="215" spans="2:17" ht="15.75" hidden="1" customHeight="1" x14ac:dyDescent="0.25">
      <c r="B215" s="62"/>
      <c r="C215" s="67"/>
      <c r="D215" s="190"/>
      <c r="E215" s="190"/>
      <c r="F215" s="190"/>
      <c r="G215" s="69"/>
      <c r="H215" s="75"/>
      <c r="I215" s="191"/>
      <c r="J215" s="193"/>
      <c r="K215" s="62"/>
      <c r="L215" s="65"/>
      <c r="M215" s="68"/>
      <c r="N215" s="236"/>
      <c r="O215" s="212"/>
      <c r="P215" s="381"/>
      <c r="Q215" s="272"/>
    </row>
    <row r="216" spans="2:17" ht="15.75" hidden="1" customHeight="1" x14ac:dyDescent="0.25">
      <c r="B216" s="62"/>
      <c r="C216" s="67"/>
      <c r="D216" s="190"/>
      <c r="E216" s="190"/>
      <c r="F216" s="190"/>
      <c r="G216" s="69"/>
      <c r="H216" s="75"/>
      <c r="I216" s="191"/>
      <c r="J216" s="193"/>
      <c r="K216" s="62"/>
      <c r="L216" s="65"/>
      <c r="M216" s="68"/>
      <c r="N216" s="236"/>
      <c r="O216" s="212"/>
      <c r="P216" s="381"/>
      <c r="Q216" s="272"/>
    </row>
    <row r="217" spans="2:17" ht="15.75" hidden="1" customHeight="1" x14ac:dyDescent="0.25">
      <c r="B217" s="62"/>
      <c r="C217" s="67"/>
      <c r="D217" s="190"/>
      <c r="E217" s="190"/>
      <c r="F217" s="190"/>
      <c r="G217" s="69"/>
      <c r="H217" s="75"/>
      <c r="I217" s="191"/>
      <c r="J217" s="193"/>
      <c r="K217" s="62"/>
      <c r="L217" s="65"/>
      <c r="M217" s="68"/>
      <c r="N217" s="236"/>
      <c r="O217" s="212"/>
      <c r="P217" s="381"/>
      <c r="Q217" s="272"/>
    </row>
    <row r="218" spans="2:17" ht="15.75" hidden="1" customHeight="1" x14ac:dyDescent="0.25">
      <c r="B218" s="62"/>
      <c r="C218" s="67"/>
      <c r="D218" s="190"/>
      <c r="E218" s="190"/>
      <c r="F218" s="190"/>
      <c r="G218" s="69"/>
      <c r="H218" s="75"/>
      <c r="I218" s="191"/>
      <c r="J218" s="193"/>
      <c r="K218" s="62"/>
      <c r="L218" s="65"/>
      <c r="M218" s="68"/>
      <c r="N218" s="236"/>
      <c r="O218" s="212"/>
      <c r="P218" s="381"/>
      <c r="Q218" s="272"/>
    </row>
    <row r="219" spans="2:17" ht="15.75" hidden="1" customHeight="1" x14ac:dyDescent="0.25">
      <c r="B219" s="62"/>
      <c r="C219" s="67"/>
      <c r="D219" s="190"/>
      <c r="E219" s="190"/>
      <c r="F219" s="190"/>
      <c r="G219" s="69"/>
      <c r="H219" s="75"/>
      <c r="I219" s="191"/>
      <c r="J219" s="193"/>
      <c r="K219" s="62"/>
      <c r="L219" s="65"/>
      <c r="M219" s="68"/>
      <c r="N219" s="236"/>
      <c r="O219" s="212"/>
      <c r="P219" s="381"/>
      <c r="Q219" s="272"/>
    </row>
    <row r="220" spans="2:17" ht="15.75" hidden="1" customHeight="1" x14ac:dyDescent="0.25">
      <c r="B220" s="62"/>
      <c r="C220" s="67"/>
      <c r="D220" s="190"/>
      <c r="E220" s="190"/>
      <c r="F220" s="190"/>
      <c r="G220" s="69"/>
      <c r="H220" s="75"/>
      <c r="I220" s="191"/>
      <c r="J220" s="193"/>
      <c r="K220" s="62"/>
      <c r="L220" s="65"/>
      <c r="M220" s="68"/>
      <c r="N220" s="236"/>
      <c r="O220" s="212"/>
      <c r="P220" s="381"/>
      <c r="Q220" s="272"/>
    </row>
    <row r="221" spans="2:17" ht="15.75" hidden="1" customHeight="1" x14ac:dyDescent="0.25">
      <c r="B221" s="62"/>
      <c r="C221" s="67"/>
      <c r="D221" s="190"/>
      <c r="E221" s="190"/>
      <c r="F221" s="190"/>
      <c r="G221" s="69"/>
      <c r="H221" s="75"/>
      <c r="I221" s="191"/>
      <c r="J221" s="193"/>
      <c r="K221" s="62"/>
      <c r="L221" s="65"/>
      <c r="M221" s="68"/>
      <c r="N221" s="236"/>
      <c r="O221" s="212"/>
      <c r="P221" s="381"/>
      <c r="Q221" s="272"/>
    </row>
    <row r="222" spans="2:17" ht="15.75" hidden="1" customHeight="1" x14ac:dyDescent="0.25">
      <c r="B222" s="62"/>
      <c r="C222" s="67"/>
      <c r="D222" s="190"/>
      <c r="E222" s="190"/>
      <c r="F222" s="190"/>
      <c r="G222" s="70"/>
      <c r="H222" s="75"/>
      <c r="I222" s="191"/>
      <c r="J222" s="193"/>
      <c r="K222" s="62"/>
      <c r="L222" s="65" t="s">
        <v>199</v>
      </c>
      <c r="M222" s="68"/>
      <c r="N222" s="236"/>
      <c r="O222" s="212"/>
      <c r="P222" s="381"/>
      <c r="Q222" s="272"/>
    </row>
    <row r="223" spans="2:17" ht="15.75" hidden="1" customHeight="1" x14ac:dyDescent="0.25">
      <c r="B223" s="62"/>
      <c r="C223" s="67"/>
      <c r="D223" s="190"/>
      <c r="E223" s="190"/>
      <c r="F223" s="190"/>
      <c r="G223" s="70"/>
      <c r="H223" s="75"/>
      <c r="I223" s="191"/>
      <c r="J223" s="193"/>
      <c r="K223" s="62"/>
      <c r="L223" s="65" t="s">
        <v>199</v>
      </c>
      <c r="M223" s="68"/>
      <c r="N223" s="236"/>
      <c r="O223" s="212"/>
      <c r="P223" s="381"/>
      <c r="Q223" s="272"/>
    </row>
    <row r="224" spans="2:17" ht="15.75" hidden="1" customHeight="1" x14ac:dyDescent="0.25">
      <c r="B224" s="62"/>
      <c r="C224" s="67"/>
      <c r="D224" s="190"/>
      <c r="E224" s="190"/>
      <c r="F224" s="190"/>
      <c r="G224" s="70"/>
      <c r="H224" s="75"/>
      <c r="I224" s="191"/>
      <c r="J224" s="193"/>
      <c r="K224" s="62"/>
      <c r="L224" s="65" t="s">
        <v>199</v>
      </c>
      <c r="M224" s="68"/>
      <c r="N224" s="236"/>
      <c r="O224" s="212"/>
      <c r="P224" s="381"/>
      <c r="Q224" s="272"/>
    </row>
    <row r="225" spans="2:23" ht="69.75" customHeight="1" thickBot="1" x14ac:dyDescent="0.3">
      <c r="B225" s="62" t="s">
        <v>173</v>
      </c>
      <c r="C225" s="67" t="s">
        <v>596</v>
      </c>
      <c r="D225" s="190">
        <v>801</v>
      </c>
      <c r="E225" s="190" t="s">
        <v>288</v>
      </c>
      <c r="F225" s="190" t="s">
        <v>505</v>
      </c>
      <c r="G225" s="69" t="s">
        <v>595</v>
      </c>
      <c r="H225" s="190" t="s">
        <v>116</v>
      </c>
      <c r="I225" s="68" t="s">
        <v>241</v>
      </c>
      <c r="J225" s="193">
        <v>15123</v>
      </c>
      <c r="K225" s="62" t="s">
        <v>363</v>
      </c>
      <c r="L225" s="65" t="s">
        <v>199</v>
      </c>
      <c r="M225" s="68">
        <f>N225+O225+P225</f>
        <v>207922.641</v>
      </c>
      <c r="N225" s="237">
        <f>N226</f>
        <v>64789.550999999999</v>
      </c>
      <c r="O225" s="219">
        <f>O226</f>
        <v>70193.315000000002</v>
      </c>
      <c r="P225" s="237">
        <f>P226</f>
        <v>72939.774999999994</v>
      </c>
      <c r="Q225" s="372">
        <f>Q226</f>
        <v>75822.464999999997</v>
      </c>
      <c r="U225" s="37">
        <v>64259.29</v>
      </c>
      <c r="V225" s="51">
        <f>N225-U225</f>
        <v>530.2609999999986</v>
      </c>
    </row>
    <row r="226" spans="2:23" ht="111.75" customHeight="1" x14ac:dyDescent="0.25">
      <c r="B226" s="62" t="s">
        <v>173</v>
      </c>
      <c r="C226" s="67" t="s">
        <v>596</v>
      </c>
      <c r="D226" s="190">
        <v>801</v>
      </c>
      <c r="E226" s="190" t="s">
        <v>288</v>
      </c>
      <c r="F226" s="190" t="s">
        <v>505</v>
      </c>
      <c r="G226" s="70" t="s">
        <v>357</v>
      </c>
      <c r="H226" s="75" t="s">
        <v>256</v>
      </c>
      <c r="I226" s="68" t="s">
        <v>241</v>
      </c>
      <c r="J226" s="193" t="s">
        <v>365</v>
      </c>
      <c r="K226" s="1050" t="s">
        <v>363</v>
      </c>
      <c r="L226" s="65" t="s">
        <v>199</v>
      </c>
      <c r="M226" s="68">
        <f>N226+O226+P226</f>
        <v>207922.641</v>
      </c>
      <c r="N226" s="1074">
        <v>64789.550999999999</v>
      </c>
      <c r="O226" s="1128">
        <v>70193.315000000002</v>
      </c>
      <c r="P226" s="1074">
        <v>72939.774999999994</v>
      </c>
      <c r="Q226" s="1136">
        <v>75822.464999999997</v>
      </c>
    </row>
    <row r="227" spans="2:23" ht="95.25" customHeight="1" x14ac:dyDescent="0.25">
      <c r="B227" s="62" t="s">
        <v>173</v>
      </c>
      <c r="C227" s="67" t="s">
        <v>596</v>
      </c>
      <c r="D227" s="190">
        <v>801</v>
      </c>
      <c r="E227" s="190" t="s">
        <v>288</v>
      </c>
      <c r="F227" s="190" t="s">
        <v>505</v>
      </c>
      <c r="G227" s="70" t="s">
        <v>358</v>
      </c>
      <c r="H227" s="75" t="s">
        <v>256</v>
      </c>
      <c r="I227" s="68" t="s">
        <v>241</v>
      </c>
      <c r="J227" s="193" t="s">
        <v>366</v>
      </c>
      <c r="K227" s="1023"/>
      <c r="L227" s="65" t="s">
        <v>199</v>
      </c>
      <c r="M227" s="68"/>
      <c r="N227" s="1075"/>
      <c r="O227" s="1129"/>
      <c r="P227" s="1075"/>
      <c r="Q227" s="1136"/>
    </row>
    <row r="228" spans="2:23" ht="147.75" customHeight="1" x14ac:dyDescent="0.25">
      <c r="B228" s="62" t="s">
        <v>173</v>
      </c>
      <c r="C228" s="67" t="s">
        <v>596</v>
      </c>
      <c r="D228" s="190">
        <v>801</v>
      </c>
      <c r="E228" s="190" t="s">
        <v>288</v>
      </c>
      <c r="F228" s="190" t="s">
        <v>505</v>
      </c>
      <c r="G228" s="70" t="s">
        <v>359</v>
      </c>
      <c r="H228" s="75" t="s">
        <v>256</v>
      </c>
      <c r="I228" s="68" t="s">
        <v>241</v>
      </c>
      <c r="J228" s="193" t="s">
        <v>367</v>
      </c>
      <c r="K228" s="1023"/>
      <c r="L228" s="65" t="s">
        <v>199</v>
      </c>
      <c r="M228" s="68"/>
      <c r="N228" s="1075"/>
      <c r="O228" s="1129"/>
      <c r="P228" s="1075"/>
      <c r="Q228" s="1136"/>
    </row>
    <row r="229" spans="2:23" ht="114.75" customHeight="1" x14ac:dyDescent="0.25">
      <c r="B229" s="62" t="s">
        <v>173</v>
      </c>
      <c r="C229" s="67" t="s">
        <v>596</v>
      </c>
      <c r="D229" s="190">
        <v>801</v>
      </c>
      <c r="E229" s="190" t="s">
        <v>288</v>
      </c>
      <c r="F229" s="190" t="s">
        <v>505</v>
      </c>
      <c r="G229" s="70" t="s">
        <v>360</v>
      </c>
      <c r="H229" s="75" t="s">
        <v>256</v>
      </c>
      <c r="I229" s="68" t="s">
        <v>241</v>
      </c>
      <c r="J229" s="193" t="s">
        <v>368</v>
      </c>
      <c r="K229" s="1023"/>
      <c r="L229" s="65" t="s">
        <v>199</v>
      </c>
      <c r="M229" s="68"/>
      <c r="N229" s="1075"/>
      <c r="O229" s="1129"/>
      <c r="P229" s="1075"/>
      <c r="Q229" s="1136"/>
    </row>
    <row r="230" spans="2:23" ht="66.75" customHeight="1" thickBot="1" x14ac:dyDescent="0.3">
      <c r="B230" s="62" t="s">
        <v>173</v>
      </c>
      <c r="C230" s="67" t="s">
        <v>596</v>
      </c>
      <c r="D230" s="190">
        <v>801</v>
      </c>
      <c r="E230" s="190" t="s">
        <v>288</v>
      </c>
      <c r="F230" s="190" t="s">
        <v>505</v>
      </c>
      <c r="G230" s="71" t="s">
        <v>361</v>
      </c>
      <c r="H230" s="75" t="s">
        <v>256</v>
      </c>
      <c r="I230" s="68" t="s">
        <v>241</v>
      </c>
      <c r="J230" s="193" t="s">
        <v>369</v>
      </c>
      <c r="K230" s="1051"/>
      <c r="L230" s="65" t="s">
        <v>199</v>
      </c>
      <c r="M230" s="68"/>
      <c r="N230" s="1076"/>
      <c r="O230" s="1130"/>
      <c r="P230" s="1076"/>
      <c r="Q230" s="1136"/>
    </row>
    <row r="231" spans="2:23" ht="109.5" customHeight="1" thickBot="1" x14ac:dyDescent="0.3">
      <c r="B231" s="62" t="s">
        <v>173</v>
      </c>
      <c r="C231" s="67" t="s">
        <v>289</v>
      </c>
      <c r="D231" s="190">
        <v>801</v>
      </c>
      <c r="E231" s="190" t="s">
        <v>288</v>
      </c>
      <c r="F231" s="124" t="s">
        <v>116</v>
      </c>
      <c r="G231" s="136" t="s">
        <v>290</v>
      </c>
      <c r="H231" s="75" t="s">
        <v>257</v>
      </c>
      <c r="I231" s="68" t="s">
        <v>242</v>
      </c>
      <c r="J231" s="193" t="s">
        <v>607</v>
      </c>
      <c r="K231" s="62" t="s">
        <v>363</v>
      </c>
      <c r="L231" s="65" t="s">
        <v>199</v>
      </c>
      <c r="M231" s="68">
        <f>N231+O231+P231</f>
        <v>4604.71</v>
      </c>
      <c r="N231" s="237">
        <f>N232+N233</f>
        <v>2098</v>
      </c>
      <c r="O231" s="219">
        <f>O232+O233</f>
        <v>2506.71</v>
      </c>
      <c r="P231" s="237">
        <f>P232+P233</f>
        <v>0</v>
      </c>
      <c r="Q231" s="373">
        <f>Q232+Q233</f>
        <v>0</v>
      </c>
    </row>
    <row r="232" spans="2:23" ht="66.75" customHeight="1" x14ac:dyDescent="0.25">
      <c r="B232" s="62" t="s">
        <v>173</v>
      </c>
      <c r="C232" s="67" t="s">
        <v>289</v>
      </c>
      <c r="D232" s="190">
        <v>801</v>
      </c>
      <c r="E232" s="190" t="s">
        <v>288</v>
      </c>
      <c r="F232" s="190" t="s">
        <v>505</v>
      </c>
      <c r="G232" s="126" t="s">
        <v>604</v>
      </c>
      <c r="H232" s="75" t="s">
        <v>257</v>
      </c>
      <c r="I232" s="68" t="s">
        <v>242</v>
      </c>
      <c r="J232" s="193" t="s">
        <v>605</v>
      </c>
      <c r="K232" s="62" t="s">
        <v>363</v>
      </c>
      <c r="L232" s="65"/>
      <c r="M232" s="68"/>
      <c r="N232" s="236">
        <v>1640.6</v>
      </c>
      <c r="O232" s="291">
        <v>1639</v>
      </c>
      <c r="P232" s="236">
        <v>0</v>
      </c>
      <c r="Q232" s="77">
        <v>0</v>
      </c>
    </row>
    <row r="233" spans="2:23" ht="245.25" customHeight="1" thickBot="1" x14ac:dyDescent="0.3">
      <c r="B233" s="62" t="s">
        <v>173</v>
      </c>
      <c r="C233" s="67" t="s">
        <v>289</v>
      </c>
      <c r="D233" s="190">
        <v>801</v>
      </c>
      <c r="E233" s="190" t="s">
        <v>288</v>
      </c>
      <c r="F233" s="190" t="s">
        <v>621</v>
      </c>
      <c r="G233" s="70" t="s">
        <v>604</v>
      </c>
      <c r="H233" s="75" t="s">
        <v>257</v>
      </c>
      <c r="I233" s="68" t="s">
        <v>242</v>
      </c>
      <c r="J233" s="193" t="s">
        <v>606</v>
      </c>
      <c r="K233" s="62" t="s">
        <v>363</v>
      </c>
      <c r="L233" s="65"/>
      <c r="M233" s="68"/>
      <c r="N233" s="236">
        <v>457.4</v>
      </c>
      <c r="O233" s="291">
        <v>867.71</v>
      </c>
      <c r="P233" s="236">
        <v>0</v>
      </c>
      <c r="Q233" s="367">
        <v>0</v>
      </c>
    </row>
    <row r="234" spans="2:23" ht="80.25" customHeight="1" thickBot="1" x14ac:dyDescent="0.3">
      <c r="B234" s="62" t="s">
        <v>173</v>
      </c>
      <c r="C234" s="67" t="s">
        <v>291</v>
      </c>
      <c r="D234" s="190">
        <v>801</v>
      </c>
      <c r="E234" s="190" t="s">
        <v>288</v>
      </c>
      <c r="F234" s="190" t="s">
        <v>505</v>
      </c>
      <c r="G234" s="69" t="s">
        <v>77</v>
      </c>
      <c r="H234" s="75" t="s">
        <v>254</v>
      </c>
      <c r="I234" s="68" t="s">
        <v>240</v>
      </c>
      <c r="J234" s="193">
        <v>1</v>
      </c>
      <c r="K234" s="62" t="s">
        <v>363</v>
      </c>
      <c r="L234" s="65" t="s">
        <v>199</v>
      </c>
      <c r="M234" s="68">
        <f t="shared" ref="M234:M241" si="10">N234+O234+P234</f>
        <v>26820.342000000001</v>
      </c>
      <c r="N234" s="237">
        <v>6916.1220000000003</v>
      </c>
      <c r="O234" s="219">
        <v>16104.22</v>
      </c>
      <c r="P234" s="237">
        <f>P235+P236+P237</f>
        <v>3800</v>
      </c>
      <c r="Q234" s="251">
        <v>3800</v>
      </c>
      <c r="U234" s="37">
        <v>4901.01</v>
      </c>
      <c r="V234" s="51">
        <f>N234-U234</f>
        <v>2015.1120000000001</v>
      </c>
      <c r="W234" s="51"/>
    </row>
    <row r="235" spans="2:23" ht="80.25" customHeight="1" x14ac:dyDescent="0.25">
      <c r="B235" s="62" t="s">
        <v>173</v>
      </c>
      <c r="C235" s="67" t="s">
        <v>291</v>
      </c>
      <c r="D235" s="190">
        <v>801</v>
      </c>
      <c r="E235" s="190" t="s">
        <v>288</v>
      </c>
      <c r="F235" s="190" t="s">
        <v>505</v>
      </c>
      <c r="G235" s="70" t="s">
        <v>292</v>
      </c>
      <c r="H235" s="75" t="s">
        <v>254</v>
      </c>
      <c r="I235" s="68" t="s">
        <v>240</v>
      </c>
      <c r="J235" s="193">
        <v>1</v>
      </c>
      <c r="K235" s="62" t="s">
        <v>363</v>
      </c>
      <c r="L235" s="65" t="s">
        <v>199</v>
      </c>
      <c r="M235" s="68">
        <f t="shared" si="10"/>
        <v>5175.7000000000007</v>
      </c>
      <c r="N235" s="380">
        <v>1707.9</v>
      </c>
      <c r="O235" s="357">
        <v>1733.9</v>
      </c>
      <c r="P235" s="380">
        <v>1733.9</v>
      </c>
      <c r="Q235" s="365"/>
      <c r="R235" s="51"/>
      <c r="S235" s="51"/>
      <c r="U235" s="51">
        <f>O235+O236</f>
        <v>3800</v>
      </c>
    </row>
    <row r="236" spans="2:23" ht="81.75" customHeight="1" x14ac:dyDescent="0.25">
      <c r="B236" s="62" t="s">
        <v>173</v>
      </c>
      <c r="C236" s="67" t="s">
        <v>291</v>
      </c>
      <c r="D236" s="190">
        <v>801</v>
      </c>
      <c r="E236" s="190" t="s">
        <v>288</v>
      </c>
      <c r="F236" s="190" t="s">
        <v>505</v>
      </c>
      <c r="G236" s="70" t="s">
        <v>293</v>
      </c>
      <c r="H236" s="75" t="s">
        <v>254</v>
      </c>
      <c r="I236" s="68" t="s">
        <v>240</v>
      </c>
      <c r="J236" s="193">
        <v>1</v>
      </c>
      <c r="K236" s="62" t="s">
        <v>363</v>
      </c>
      <c r="L236" s="65" t="s">
        <v>199</v>
      </c>
      <c r="M236" s="68">
        <f t="shared" si="10"/>
        <v>5851.226999999999</v>
      </c>
      <c r="N236" s="380">
        <f>1957.19646-238.16946</f>
        <v>1719.0269999999998</v>
      </c>
      <c r="O236" s="357">
        <v>2066.1</v>
      </c>
      <c r="P236" s="380">
        <v>2066.1</v>
      </c>
      <c r="Q236" s="272"/>
      <c r="R236" s="51"/>
    </row>
    <row r="237" spans="2:23" ht="84" customHeight="1" x14ac:dyDescent="0.25">
      <c r="B237" s="62" t="s">
        <v>173</v>
      </c>
      <c r="C237" s="67" t="s">
        <v>291</v>
      </c>
      <c r="D237" s="190">
        <v>801</v>
      </c>
      <c r="E237" s="190" t="s">
        <v>288</v>
      </c>
      <c r="F237" s="190" t="s">
        <v>505</v>
      </c>
      <c r="G237" s="70" t="s">
        <v>294</v>
      </c>
      <c r="H237" s="75" t="s">
        <v>254</v>
      </c>
      <c r="I237" s="68" t="s">
        <v>240</v>
      </c>
      <c r="J237" s="193">
        <v>1</v>
      </c>
      <c r="K237" s="62" t="s">
        <v>363</v>
      </c>
      <c r="L237" s="65" t="s">
        <v>199</v>
      </c>
      <c r="M237" s="68">
        <f t="shared" si="10"/>
        <v>202.08</v>
      </c>
      <c r="N237" s="236">
        <v>202.08</v>
      </c>
      <c r="O237" s="323">
        <v>0</v>
      </c>
      <c r="P237" s="236">
        <v>0</v>
      </c>
      <c r="Q237" s="272"/>
    </row>
    <row r="238" spans="2:23" ht="84" customHeight="1" x14ac:dyDescent="0.25">
      <c r="B238" s="62" t="s">
        <v>173</v>
      </c>
      <c r="C238" s="67" t="s">
        <v>291</v>
      </c>
      <c r="D238" s="190">
        <v>801</v>
      </c>
      <c r="E238" s="190" t="s">
        <v>288</v>
      </c>
      <c r="F238" s="190" t="s">
        <v>505</v>
      </c>
      <c r="G238" s="70" t="s">
        <v>540</v>
      </c>
      <c r="H238" s="75" t="s">
        <v>435</v>
      </c>
      <c r="I238" s="68" t="s">
        <v>240</v>
      </c>
      <c r="J238" s="193">
        <v>1</v>
      </c>
      <c r="K238" s="62" t="s">
        <v>363</v>
      </c>
      <c r="L238" s="65"/>
      <c r="M238" s="68">
        <f t="shared" si="10"/>
        <v>196</v>
      </c>
      <c r="N238" s="236">
        <v>196</v>
      </c>
      <c r="O238" s="323">
        <v>0</v>
      </c>
      <c r="P238" s="236">
        <v>0</v>
      </c>
      <c r="Q238" s="272"/>
    </row>
    <row r="239" spans="2:23" ht="84" customHeight="1" x14ac:dyDescent="0.25">
      <c r="B239" s="62" t="s">
        <v>173</v>
      </c>
      <c r="C239" s="67" t="s">
        <v>291</v>
      </c>
      <c r="D239" s="190">
        <v>801</v>
      </c>
      <c r="E239" s="190" t="s">
        <v>288</v>
      </c>
      <c r="F239" s="190" t="s">
        <v>505</v>
      </c>
      <c r="G239" s="70" t="s">
        <v>541</v>
      </c>
      <c r="H239" s="75" t="s">
        <v>435</v>
      </c>
      <c r="I239" s="68" t="s">
        <v>240</v>
      </c>
      <c r="J239" s="193" t="s">
        <v>373</v>
      </c>
      <c r="K239" s="62" t="s">
        <v>363</v>
      </c>
      <c r="L239" s="65"/>
      <c r="M239" s="68">
        <f t="shared" si="10"/>
        <v>400</v>
      </c>
      <c r="N239" s="236">
        <v>400</v>
      </c>
      <c r="O239" s="323">
        <v>0</v>
      </c>
      <c r="P239" s="236">
        <v>0</v>
      </c>
      <c r="Q239" s="272"/>
    </row>
    <row r="240" spans="2:23" ht="84" customHeight="1" x14ac:dyDescent="0.25">
      <c r="B240" s="62" t="s">
        <v>173</v>
      </c>
      <c r="C240" s="67" t="s">
        <v>291</v>
      </c>
      <c r="D240" s="190">
        <v>801</v>
      </c>
      <c r="E240" s="190" t="s">
        <v>288</v>
      </c>
      <c r="F240" s="190" t="s">
        <v>505</v>
      </c>
      <c r="G240" s="70" t="s">
        <v>542</v>
      </c>
      <c r="H240" s="75" t="s">
        <v>435</v>
      </c>
      <c r="I240" s="68" t="s">
        <v>240</v>
      </c>
      <c r="J240" s="193" t="s">
        <v>374</v>
      </c>
      <c r="K240" s="62" t="s">
        <v>363</v>
      </c>
      <c r="L240" s="65"/>
      <c r="M240" s="68">
        <f t="shared" si="10"/>
        <v>300</v>
      </c>
      <c r="N240" s="236">
        <v>300</v>
      </c>
      <c r="O240" s="323">
        <v>0</v>
      </c>
      <c r="P240" s="236">
        <v>0</v>
      </c>
      <c r="Q240" s="272"/>
    </row>
    <row r="241" spans="2:22" ht="84" customHeight="1" x14ac:dyDescent="0.25">
      <c r="B241" s="62" t="s">
        <v>173</v>
      </c>
      <c r="C241" s="67" t="s">
        <v>291</v>
      </c>
      <c r="D241" s="190">
        <v>801</v>
      </c>
      <c r="E241" s="190" t="s">
        <v>288</v>
      </c>
      <c r="F241" s="190" t="s">
        <v>505</v>
      </c>
      <c r="G241" s="70" t="s">
        <v>599</v>
      </c>
      <c r="H241" s="75" t="s">
        <v>435</v>
      </c>
      <c r="I241" s="68" t="s">
        <v>240</v>
      </c>
      <c r="J241" s="193" t="s">
        <v>373</v>
      </c>
      <c r="K241" s="62" t="s">
        <v>363</v>
      </c>
      <c r="L241" s="65"/>
      <c r="M241" s="68">
        <f t="shared" si="10"/>
        <v>350</v>
      </c>
      <c r="N241" s="236">
        <v>350</v>
      </c>
      <c r="O241" s="323">
        <v>0</v>
      </c>
      <c r="P241" s="236">
        <v>0</v>
      </c>
      <c r="Q241" s="272"/>
    </row>
    <row r="242" spans="2:22" ht="66" customHeight="1" thickBot="1" x14ac:dyDescent="0.3">
      <c r="B242" s="62" t="s">
        <v>173</v>
      </c>
      <c r="C242" s="67" t="s">
        <v>291</v>
      </c>
      <c r="D242" s="190">
        <v>801</v>
      </c>
      <c r="E242" s="190" t="s">
        <v>288</v>
      </c>
      <c r="F242" s="190" t="s">
        <v>505</v>
      </c>
      <c r="G242" s="70" t="s">
        <v>646</v>
      </c>
      <c r="H242" s="75" t="s">
        <v>647</v>
      </c>
      <c r="I242" s="68" t="s">
        <v>240</v>
      </c>
      <c r="J242" s="193" t="s">
        <v>263</v>
      </c>
      <c r="K242" s="62" t="s">
        <v>363</v>
      </c>
      <c r="L242" s="65"/>
      <c r="M242" s="68"/>
      <c r="N242" s="236">
        <v>26</v>
      </c>
      <c r="O242" s="323"/>
      <c r="P242" s="236"/>
      <c r="Q242" s="342"/>
    </row>
    <row r="243" spans="2:22" ht="79.5" customHeight="1" thickBot="1" x14ac:dyDescent="0.3">
      <c r="B243" s="62" t="s">
        <v>173</v>
      </c>
      <c r="C243" s="67" t="s">
        <v>295</v>
      </c>
      <c r="D243" s="190">
        <v>801</v>
      </c>
      <c r="E243" s="190" t="s">
        <v>288</v>
      </c>
      <c r="F243" s="190" t="s">
        <v>505</v>
      </c>
      <c r="G243" s="69" t="s">
        <v>280</v>
      </c>
      <c r="H243" s="75" t="s">
        <v>255</v>
      </c>
      <c r="I243" s="68" t="s">
        <v>240</v>
      </c>
      <c r="J243" s="193">
        <v>1</v>
      </c>
      <c r="K243" s="62" t="s">
        <v>363</v>
      </c>
      <c r="L243" s="65" t="s">
        <v>199</v>
      </c>
      <c r="M243" s="68">
        <f>M244+M245+M246</f>
        <v>4983.6450000000004</v>
      </c>
      <c r="N243" s="237">
        <v>45814.818079999997</v>
      </c>
      <c r="O243" s="357">
        <f>O254</f>
        <v>6105.4760000000006</v>
      </c>
      <c r="P243" s="237">
        <f>P244+P245+P246</f>
        <v>0</v>
      </c>
      <c r="Q243" s="251">
        <f>Q244+Q245+Q246</f>
        <v>0</v>
      </c>
      <c r="U243" s="37">
        <v>21390.74</v>
      </c>
      <c r="V243" s="51">
        <f>N243-U243</f>
        <v>24424.078079999996</v>
      </c>
    </row>
    <row r="244" spans="2:22" ht="114" customHeight="1" x14ac:dyDescent="0.25">
      <c r="B244" s="62" t="s">
        <v>173</v>
      </c>
      <c r="C244" s="67" t="s">
        <v>295</v>
      </c>
      <c r="D244" s="190">
        <v>801</v>
      </c>
      <c r="E244" s="190" t="s">
        <v>288</v>
      </c>
      <c r="F244" s="190" t="s">
        <v>505</v>
      </c>
      <c r="G244" s="70" t="s">
        <v>662</v>
      </c>
      <c r="H244" s="75" t="s">
        <v>661</v>
      </c>
      <c r="I244" s="68" t="s">
        <v>240</v>
      </c>
      <c r="J244" s="193" t="s">
        <v>668</v>
      </c>
      <c r="K244" s="62" t="s">
        <v>363</v>
      </c>
      <c r="L244" s="65" t="s">
        <v>199</v>
      </c>
      <c r="M244" s="68">
        <f>N244+O244+P244</f>
        <v>2828.9</v>
      </c>
      <c r="N244" s="236">
        <f>2527.8+301.1</f>
        <v>2828.9</v>
      </c>
      <c r="O244" s="323">
        <v>0</v>
      </c>
      <c r="P244" s="236">
        <v>0</v>
      </c>
      <c r="Q244" s="365"/>
    </row>
    <row r="245" spans="2:22" ht="79.5" customHeight="1" x14ac:dyDescent="0.25">
      <c r="B245" s="62" t="s">
        <v>173</v>
      </c>
      <c r="C245" s="67" t="s">
        <v>295</v>
      </c>
      <c r="D245" s="190">
        <v>801</v>
      </c>
      <c r="E245" s="190" t="s">
        <v>288</v>
      </c>
      <c r="F245" s="190" t="s">
        <v>505</v>
      </c>
      <c r="G245" s="70" t="s">
        <v>620</v>
      </c>
      <c r="H245" s="75" t="s">
        <v>255</v>
      </c>
      <c r="I245" s="68" t="s">
        <v>240</v>
      </c>
      <c r="J245" s="193">
        <v>1</v>
      </c>
      <c r="K245" s="62" t="s">
        <v>363</v>
      </c>
      <c r="L245" s="65" t="s">
        <v>199</v>
      </c>
      <c r="M245" s="68">
        <f>N245+O245+P245</f>
        <v>597.5</v>
      </c>
      <c r="N245" s="236">
        <v>597.5</v>
      </c>
      <c r="O245" s="323">
        <v>0</v>
      </c>
      <c r="P245" s="236">
        <v>0</v>
      </c>
      <c r="Q245" s="272"/>
    </row>
    <row r="246" spans="2:22" ht="81.75" customHeight="1" x14ac:dyDescent="0.25">
      <c r="B246" s="62" t="s">
        <v>173</v>
      </c>
      <c r="C246" s="67" t="s">
        <v>295</v>
      </c>
      <c r="D246" s="190">
        <v>801</v>
      </c>
      <c r="E246" s="190" t="s">
        <v>288</v>
      </c>
      <c r="F246" s="190" t="s">
        <v>505</v>
      </c>
      <c r="G246" s="70" t="s">
        <v>296</v>
      </c>
      <c r="H246" s="75" t="s">
        <v>255</v>
      </c>
      <c r="I246" s="68" t="s">
        <v>240</v>
      </c>
      <c r="J246" s="193">
        <v>1</v>
      </c>
      <c r="K246" s="62" t="s">
        <v>363</v>
      </c>
      <c r="L246" s="65" t="s">
        <v>199</v>
      </c>
      <c r="M246" s="68">
        <f>N246+O246+P246</f>
        <v>1557.2449999999999</v>
      </c>
      <c r="N246" s="236">
        <v>1557.2449999999999</v>
      </c>
      <c r="O246" s="323">
        <v>0</v>
      </c>
      <c r="P246" s="236">
        <v>0</v>
      </c>
      <c r="Q246" s="272"/>
    </row>
    <row r="247" spans="2:22" ht="84.75" customHeight="1" x14ac:dyDescent="0.25">
      <c r="B247" s="62" t="s">
        <v>173</v>
      </c>
      <c r="C247" s="67" t="s">
        <v>295</v>
      </c>
      <c r="D247" s="190">
        <v>801</v>
      </c>
      <c r="E247" s="190" t="s">
        <v>288</v>
      </c>
      <c r="F247" s="190" t="s">
        <v>505</v>
      </c>
      <c r="G247" s="70" t="s">
        <v>493</v>
      </c>
      <c r="H247" s="75" t="s">
        <v>527</v>
      </c>
      <c r="I247" s="68" t="s">
        <v>240</v>
      </c>
      <c r="J247" s="193">
        <v>1</v>
      </c>
      <c r="K247" s="62" t="s">
        <v>363</v>
      </c>
      <c r="L247" s="65"/>
      <c r="M247" s="68">
        <f>N247+O247+P247</f>
        <v>1400</v>
      </c>
      <c r="N247" s="236">
        <v>1400</v>
      </c>
      <c r="O247" s="355">
        <v>0</v>
      </c>
      <c r="P247" s="379">
        <v>0</v>
      </c>
      <c r="Q247" s="272"/>
      <c r="S247" s="50"/>
    </row>
    <row r="248" spans="2:22" ht="84.75" customHeight="1" x14ac:dyDescent="0.25">
      <c r="B248" s="62" t="s">
        <v>173</v>
      </c>
      <c r="C248" s="67" t="s">
        <v>295</v>
      </c>
      <c r="D248" s="190">
        <v>801</v>
      </c>
      <c r="E248" s="190" t="s">
        <v>288</v>
      </c>
      <c r="F248" s="190" t="s">
        <v>505</v>
      </c>
      <c r="G248" s="70" t="s">
        <v>546</v>
      </c>
      <c r="H248" s="75" t="s">
        <v>527</v>
      </c>
      <c r="I248" s="68" t="s">
        <v>240</v>
      </c>
      <c r="J248" s="193">
        <v>1</v>
      </c>
      <c r="K248" s="62" t="s">
        <v>363</v>
      </c>
      <c r="L248" s="65"/>
      <c r="M248" s="68">
        <f>N248+O248+P248</f>
        <v>167.96</v>
      </c>
      <c r="N248" s="236">
        <v>167.96</v>
      </c>
      <c r="O248" s="355">
        <v>0</v>
      </c>
      <c r="P248" s="379">
        <v>0</v>
      </c>
      <c r="Q248" s="272"/>
      <c r="S248" s="50"/>
    </row>
    <row r="249" spans="2:22" ht="84.75" customHeight="1" x14ac:dyDescent="0.25">
      <c r="B249" s="62" t="s">
        <v>173</v>
      </c>
      <c r="C249" s="67" t="s">
        <v>295</v>
      </c>
      <c r="D249" s="190">
        <v>801</v>
      </c>
      <c r="E249" s="190" t="s">
        <v>288</v>
      </c>
      <c r="F249" s="190" t="s">
        <v>505</v>
      </c>
      <c r="G249" s="70" t="s">
        <v>547</v>
      </c>
      <c r="H249" s="75" t="s">
        <v>548</v>
      </c>
      <c r="I249" s="68" t="s">
        <v>240</v>
      </c>
      <c r="J249" s="193" t="s">
        <v>545</v>
      </c>
      <c r="K249" s="62" t="s">
        <v>363</v>
      </c>
      <c r="L249" s="65"/>
      <c r="M249" s="68"/>
      <c r="N249" s="236">
        <f>2097.909+2142.322+1438.711+400+936.484</f>
        <v>7015.4260000000004</v>
      </c>
      <c r="O249" s="355">
        <v>0</v>
      </c>
      <c r="P249" s="379">
        <v>0</v>
      </c>
      <c r="Q249" s="272"/>
      <c r="S249" s="50"/>
      <c r="U249" s="37" t="s">
        <v>678</v>
      </c>
    </row>
    <row r="250" spans="2:22" ht="84.75" customHeight="1" x14ac:dyDescent="0.25">
      <c r="B250" s="62" t="s">
        <v>173</v>
      </c>
      <c r="C250" s="67" t="s">
        <v>295</v>
      </c>
      <c r="D250" s="190">
        <v>801</v>
      </c>
      <c r="E250" s="190" t="s">
        <v>288</v>
      </c>
      <c r="F250" s="190" t="s">
        <v>505</v>
      </c>
      <c r="G250" s="70" t="s">
        <v>550</v>
      </c>
      <c r="H250" s="75" t="s">
        <v>435</v>
      </c>
      <c r="I250" s="68" t="s">
        <v>240</v>
      </c>
      <c r="J250" s="193" t="s">
        <v>545</v>
      </c>
      <c r="K250" s="62" t="s">
        <v>363</v>
      </c>
      <c r="L250" s="65"/>
      <c r="M250" s="68"/>
      <c r="N250" s="236">
        <f>388+384+391+387</f>
        <v>1550</v>
      </c>
      <c r="O250" s="355">
        <v>0</v>
      </c>
      <c r="P250" s="379">
        <v>0</v>
      </c>
      <c r="Q250" s="272"/>
      <c r="S250" s="50"/>
    </row>
    <row r="251" spans="2:22" ht="84.75" customHeight="1" x14ac:dyDescent="0.25">
      <c r="B251" s="62" t="s">
        <v>173</v>
      </c>
      <c r="C251" s="67" t="s">
        <v>295</v>
      </c>
      <c r="D251" s="190">
        <v>801</v>
      </c>
      <c r="E251" s="190" t="s">
        <v>288</v>
      </c>
      <c r="F251" s="190" t="s">
        <v>505</v>
      </c>
      <c r="G251" s="71" t="s">
        <v>644</v>
      </c>
      <c r="H251" s="75" t="s">
        <v>645</v>
      </c>
      <c r="I251" s="67" t="s">
        <v>240</v>
      </c>
      <c r="J251" s="193" t="s">
        <v>545</v>
      </c>
      <c r="K251" s="62" t="s">
        <v>363</v>
      </c>
      <c r="L251" s="65"/>
      <c r="M251" s="68"/>
      <c r="N251" s="236">
        <v>40.985999999999997</v>
      </c>
      <c r="O251" s="355"/>
      <c r="P251" s="379"/>
      <c r="Q251" s="272"/>
      <c r="S251" s="50"/>
    </row>
    <row r="252" spans="2:22" ht="212.25" customHeight="1" x14ac:dyDescent="0.25">
      <c r="B252" s="62" t="s">
        <v>173</v>
      </c>
      <c r="C252" s="67" t="s">
        <v>295</v>
      </c>
      <c r="D252" s="190">
        <v>801</v>
      </c>
      <c r="E252" s="190" t="s">
        <v>288</v>
      </c>
      <c r="F252" s="190" t="s">
        <v>505</v>
      </c>
      <c r="G252" s="70" t="s">
        <v>663</v>
      </c>
      <c r="H252" s="75" t="s">
        <v>435</v>
      </c>
      <c r="I252" s="68" t="s">
        <v>240</v>
      </c>
      <c r="J252" s="193" t="s">
        <v>664</v>
      </c>
      <c r="K252" s="62" t="s">
        <v>363</v>
      </c>
      <c r="L252" s="65"/>
      <c r="M252" s="68"/>
      <c r="N252" s="236">
        <v>6177.54</v>
      </c>
      <c r="O252" s="355"/>
      <c r="P252" s="379"/>
      <c r="Q252" s="272"/>
      <c r="S252" s="50"/>
    </row>
    <row r="253" spans="2:22" ht="24.75" customHeight="1" x14ac:dyDescent="0.25">
      <c r="B253" s="62" t="s">
        <v>172</v>
      </c>
      <c r="C253" s="67" t="s">
        <v>291</v>
      </c>
      <c r="D253" s="190">
        <v>801</v>
      </c>
      <c r="E253" s="67">
        <v>27300364</v>
      </c>
      <c r="F253" s="190" t="s">
        <v>192</v>
      </c>
      <c r="G253" s="70" t="s">
        <v>635</v>
      </c>
      <c r="H253" s="75" t="s">
        <v>190</v>
      </c>
      <c r="I253" s="191" t="s">
        <v>240</v>
      </c>
      <c r="J253" s="193" t="s">
        <v>468</v>
      </c>
      <c r="K253" s="62" t="s">
        <v>363</v>
      </c>
      <c r="L253" s="65"/>
      <c r="M253" s="68"/>
      <c r="N253" s="236">
        <v>55.183999999999997</v>
      </c>
      <c r="O253" s="355"/>
      <c r="P253" s="379"/>
      <c r="Q253" s="272"/>
      <c r="S253" s="50"/>
    </row>
    <row r="254" spans="2:22" ht="84.75" customHeight="1" x14ac:dyDescent="0.25">
      <c r="B254" s="62" t="s">
        <v>173</v>
      </c>
      <c r="C254" s="67" t="s">
        <v>295</v>
      </c>
      <c r="D254" s="190">
        <v>801</v>
      </c>
      <c r="E254" s="190" t="s">
        <v>288</v>
      </c>
      <c r="F254" s="190" t="s">
        <v>505</v>
      </c>
      <c r="G254" s="70" t="s">
        <v>549</v>
      </c>
      <c r="H254" s="75" t="s">
        <v>548</v>
      </c>
      <c r="I254" s="68" t="s">
        <v>240</v>
      </c>
      <c r="J254" s="193" t="s">
        <v>374</v>
      </c>
      <c r="K254" s="62" t="s">
        <v>462</v>
      </c>
      <c r="L254" s="65"/>
      <c r="M254" s="68"/>
      <c r="N254" s="236">
        <v>0</v>
      </c>
      <c r="O254" s="355">
        <f>3059.676+3045.8</f>
        <v>6105.4760000000006</v>
      </c>
      <c r="P254" s="379">
        <v>0</v>
      </c>
      <c r="Q254" s="272"/>
      <c r="S254" s="50"/>
    </row>
    <row r="255" spans="2:22" ht="71.25" customHeight="1" x14ac:dyDescent="0.25">
      <c r="B255" s="180" t="s">
        <v>173</v>
      </c>
      <c r="C255" s="185">
        <v>40443</v>
      </c>
      <c r="D255" s="184" t="s">
        <v>116</v>
      </c>
      <c r="E255" s="184" t="s">
        <v>116</v>
      </c>
      <c r="F255" s="184" t="s">
        <v>116</v>
      </c>
      <c r="G255" s="69" t="s">
        <v>469</v>
      </c>
      <c r="H255" s="75" t="s">
        <v>472</v>
      </c>
      <c r="I255" s="68" t="s">
        <v>240</v>
      </c>
      <c r="J255" s="193">
        <v>1</v>
      </c>
      <c r="K255" s="62" t="s">
        <v>363</v>
      </c>
      <c r="L255" s="65"/>
      <c r="M255" s="68"/>
      <c r="N255" s="237">
        <f>N256</f>
        <v>2775.48</v>
      </c>
      <c r="O255" s="359">
        <f>O256</f>
        <v>0</v>
      </c>
      <c r="P255" s="382">
        <f>P256</f>
        <v>0</v>
      </c>
      <c r="Q255" s="359">
        <v>0</v>
      </c>
      <c r="S255" s="50"/>
    </row>
    <row r="256" spans="2:22" ht="72" customHeight="1" x14ac:dyDescent="0.25">
      <c r="B256" s="180" t="s">
        <v>173</v>
      </c>
      <c r="C256" s="185">
        <v>40443</v>
      </c>
      <c r="D256" s="184">
        <v>803</v>
      </c>
      <c r="E256" s="184" t="s">
        <v>476</v>
      </c>
      <c r="F256" s="184" t="s">
        <v>470</v>
      </c>
      <c r="G256" s="71" t="s">
        <v>471</v>
      </c>
      <c r="H256" s="75" t="s">
        <v>472</v>
      </c>
      <c r="I256" s="68" t="s">
        <v>240</v>
      </c>
      <c r="J256" s="193" t="s">
        <v>263</v>
      </c>
      <c r="K256" s="62" t="s">
        <v>363</v>
      </c>
      <c r="L256" s="65"/>
      <c r="M256" s="68"/>
      <c r="N256" s="236">
        <f>2614.48+1+160</f>
        <v>2775.48</v>
      </c>
      <c r="O256" s="355">
        <v>0</v>
      </c>
      <c r="P256" s="379">
        <v>0</v>
      </c>
      <c r="Q256" s="272"/>
      <c r="V256" s="50"/>
    </row>
    <row r="257" spans="2:22" ht="178.5" customHeight="1" x14ac:dyDescent="0.25">
      <c r="B257" s="1050" t="s">
        <v>174</v>
      </c>
      <c r="C257" s="1071" t="s">
        <v>116</v>
      </c>
      <c r="D257" s="1052" t="s">
        <v>116</v>
      </c>
      <c r="E257" s="1052" t="s">
        <v>116</v>
      </c>
      <c r="F257" s="1052" t="s">
        <v>116</v>
      </c>
      <c r="G257" s="1079" t="s">
        <v>597</v>
      </c>
      <c r="H257" s="75" t="s">
        <v>258</v>
      </c>
      <c r="I257" s="93" t="s">
        <v>241</v>
      </c>
      <c r="J257" s="193">
        <v>90</v>
      </c>
      <c r="K257" s="1050" t="s">
        <v>363</v>
      </c>
      <c r="L257" s="65" t="s">
        <v>199</v>
      </c>
      <c r="M257" s="68">
        <f>M263+M266+M269</f>
        <v>24753.599999999999</v>
      </c>
      <c r="N257" s="1077">
        <f>N263+N266+N270+N271</f>
        <v>8180.8</v>
      </c>
      <c r="O257" s="1066">
        <f>O263+O266+O270+O271</f>
        <v>8286.4</v>
      </c>
      <c r="P257" s="1077">
        <f>P263+P266+P270+P271</f>
        <v>8286.4</v>
      </c>
      <c r="Q257" s="1135">
        <f>Q263+Q266+Q270+Q271</f>
        <v>8286.4</v>
      </c>
    </row>
    <row r="258" spans="2:22" s="48" customFormat="1" ht="178.5" customHeight="1" x14ac:dyDescent="0.25">
      <c r="B258" s="1023"/>
      <c r="C258" s="1073"/>
      <c r="D258" s="1053"/>
      <c r="E258" s="1053"/>
      <c r="F258" s="1053"/>
      <c r="G258" s="1080"/>
      <c r="H258" s="75" t="s">
        <v>219</v>
      </c>
      <c r="I258" s="93" t="s">
        <v>241</v>
      </c>
      <c r="J258" s="193">
        <v>67</v>
      </c>
      <c r="K258" s="1023"/>
      <c r="L258" s="65"/>
      <c r="M258" s="68"/>
      <c r="N258" s="1078"/>
      <c r="O258" s="1067"/>
      <c r="P258" s="1078"/>
      <c r="Q258" s="1109"/>
    </row>
    <row r="259" spans="2:22" s="48" customFormat="1" ht="68.25" customHeight="1" x14ac:dyDescent="0.25">
      <c r="B259" s="1023"/>
      <c r="C259" s="1073"/>
      <c r="D259" s="1053"/>
      <c r="E259" s="1053"/>
      <c r="F259" s="1053"/>
      <c r="G259" s="1080"/>
      <c r="H259" s="75" t="s">
        <v>218</v>
      </c>
      <c r="I259" s="93" t="s">
        <v>240</v>
      </c>
      <c r="J259" s="193">
        <v>3</v>
      </c>
      <c r="K259" s="1023"/>
      <c r="L259" s="65"/>
      <c r="M259" s="68"/>
      <c r="N259" s="1078"/>
      <c r="O259" s="1067"/>
      <c r="P259" s="1078"/>
      <c r="Q259" s="1109"/>
    </row>
    <row r="260" spans="2:22" s="48" customFormat="1" ht="67.5" customHeight="1" x14ac:dyDescent="0.25">
      <c r="B260" s="1023"/>
      <c r="C260" s="1073"/>
      <c r="D260" s="1053"/>
      <c r="E260" s="1053"/>
      <c r="F260" s="1053"/>
      <c r="G260" s="1080"/>
      <c r="H260" s="75" t="s">
        <v>217</v>
      </c>
      <c r="I260" s="93" t="s">
        <v>240</v>
      </c>
      <c r="J260" s="193">
        <v>2</v>
      </c>
      <c r="K260" s="1023"/>
      <c r="L260" s="65"/>
      <c r="M260" s="68"/>
      <c r="N260" s="1078"/>
      <c r="O260" s="1067"/>
      <c r="P260" s="1078"/>
      <c r="Q260" s="1109"/>
    </row>
    <row r="261" spans="2:22" s="48" customFormat="1" ht="68.25" customHeight="1" x14ac:dyDescent="0.25">
      <c r="B261" s="1023"/>
      <c r="C261" s="1073"/>
      <c r="D261" s="1053"/>
      <c r="E261" s="1053"/>
      <c r="F261" s="1053"/>
      <c r="G261" s="1080"/>
      <c r="H261" s="75" t="s">
        <v>216</v>
      </c>
      <c r="I261" s="93" t="s">
        <v>240</v>
      </c>
      <c r="J261" s="193">
        <v>6</v>
      </c>
      <c r="K261" s="1023"/>
      <c r="L261" s="65"/>
      <c r="M261" s="68"/>
      <c r="N261" s="1078"/>
      <c r="O261" s="1067"/>
      <c r="P261" s="1078"/>
      <c r="Q261" s="1109"/>
    </row>
    <row r="262" spans="2:22" s="48" customFormat="1" ht="69" customHeight="1" thickBot="1" x14ac:dyDescent="0.3">
      <c r="B262" s="1051"/>
      <c r="C262" s="1072"/>
      <c r="D262" s="1054"/>
      <c r="E262" s="1054"/>
      <c r="F262" s="1054"/>
      <c r="G262" s="1081"/>
      <c r="H262" s="75" t="s">
        <v>526</v>
      </c>
      <c r="I262" s="93" t="s">
        <v>240</v>
      </c>
      <c r="J262" s="193" t="s">
        <v>386</v>
      </c>
      <c r="K262" s="1051"/>
      <c r="L262" s="65"/>
      <c r="M262" s="68"/>
      <c r="N262" s="1078"/>
      <c r="O262" s="1067"/>
      <c r="P262" s="1078"/>
      <c r="Q262" s="1109"/>
    </row>
    <row r="263" spans="2:22" ht="48.75" customHeight="1" thickBot="1" x14ac:dyDescent="0.3">
      <c r="B263" s="62" t="s">
        <v>174</v>
      </c>
      <c r="C263" s="190" t="s">
        <v>598</v>
      </c>
      <c r="D263" s="190" t="s">
        <v>116</v>
      </c>
      <c r="E263" s="190" t="s">
        <v>116</v>
      </c>
      <c r="F263" s="190" t="s">
        <v>116</v>
      </c>
      <c r="G263" s="69" t="s">
        <v>298</v>
      </c>
      <c r="H263" s="75" t="s">
        <v>456</v>
      </c>
      <c r="I263" s="93" t="s">
        <v>241</v>
      </c>
      <c r="J263" s="193">
        <f>J264+J265</f>
        <v>145</v>
      </c>
      <c r="K263" s="62" t="s">
        <v>363</v>
      </c>
      <c r="L263" s="65" t="s">
        <v>199</v>
      </c>
      <c r="M263" s="68">
        <f>N263+O263+P263</f>
        <v>6903.6</v>
      </c>
      <c r="N263" s="261">
        <f>N264+N265</f>
        <v>2230.8000000000002</v>
      </c>
      <c r="O263" s="358">
        <f>O264+O265</f>
        <v>2336.4</v>
      </c>
      <c r="P263" s="261">
        <f>P264+P265</f>
        <v>2336.4</v>
      </c>
      <c r="Q263" s="251">
        <f>Q264+Q265</f>
        <v>2336.4</v>
      </c>
      <c r="U263" s="37">
        <v>2336.4</v>
      </c>
      <c r="V263" s="51">
        <f>N263-U263</f>
        <v>-105.59999999999991</v>
      </c>
    </row>
    <row r="264" spans="2:22" ht="148.5" customHeight="1" x14ac:dyDescent="0.25">
      <c r="B264" s="62" t="s">
        <v>174</v>
      </c>
      <c r="C264" s="190" t="s">
        <v>598</v>
      </c>
      <c r="D264" s="190">
        <v>801</v>
      </c>
      <c r="E264" s="67">
        <v>10108</v>
      </c>
      <c r="F264" s="190" t="s">
        <v>192</v>
      </c>
      <c r="G264" s="70" t="s">
        <v>376</v>
      </c>
      <c r="H264" s="75" t="s">
        <v>677</v>
      </c>
      <c r="I264" s="93" t="s">
        <v>241</v>
      </c>
      <c r="J264" s="193">
        <v>90</v>
      </c>
      <c r="K264" s="62" t="s">
        <v>363</v>
      </c>
      <c r="L264" s="65" t="s">
        <v>199</v>
      </c>
      <c r="M264" s="68">
        <f>N264+O264+P264</f>
        <v>4356</v>
      </c>
      <c r="N264" s="270">
        <v>1452</v>
      </c>
      <c r="O264" s="356">
        <v>1452</v>
      </c>
      <c r="P264" s="270">
        <v>1452</v>
      </c>
      <c r="Q264" s="210">
        <v>1452</v>
      </c>
      <c r="R264" s="51"/>
    </row>
    <row r="265" spans="2:22" ht="132" customHeight="1" thickBot="1" x14ac:dyDescent="0.3">
      <c r="B265" s="62" t="s">
        <v>174</v>
      </c>
      <c r="C265" s="190" t="s">
        <v>598</v>
      </c>
      <c r="D265" s="190">
        <v>801</v>
      </c>
      <c r="E265" s="67">
        <v>10108</v>
      </c>
      <c r="F265" s="190" t="s">
        <v>622</v>
      </c>
      <c r="G265" s="70" t="s">
        <v>375</v>
      </c>
      <c r="H265" s="75" t="s">
        <v>676</v>
      </c>
      <c r="I265" s="93" t="s">
        <v>241</v>
      </c>
      <c r="J265" s="193" t="s">
        <v>574</v>
      </c>
      <c r="K265" s="62" t="s">
        <v>363</v>
      </c>
      <c r="L265" s="65" t="s">
        <v>199</v>
      </c>
      <c r="M265" s="68">
        <f>N265+O265+P265</f>
        <v>2547.6</v>
      </c>
      <c r="N265" s="236">
        <f>884.4-105.6</f>
        <v>778.8</v>
      </c>
      <c r="O265" s="323">
        <v>884.4</v>
      </c>
      <c r="P265" s="236">
        <v>884.4</v>
      </c>
      <c r="Q265" s="367">
        <v>884.4</v>
      </c>
      <c r="R265" s="51"/>
    </row>
    <row r="266" spans="2:22" ht="52.5" customHeight="1" x14ac:dyDescent="0.25">
      <c r="B266" s="62" t="s">
        <v>174</v>
      </c>
      <c r="C266" s="67">
        <v>10108</v>
      </c>
      <c r="D266" s="190" t="s">
        <v>116</v>
      </c>
      <c r="E266" s="190" t="s">
        <v>116</v>
      </c>
      <c r="F266" s="190" t="s">
        <v>116</v>
      </c>
      <c r="G266" s="69" t="s">
        <v>297</v>
      </c>
      <c r="H266" s="75" t="s">
        <v>455</v>
      </c>
      <c r="I266" s="93" t="s">
        <v>240</v>
      </c>
      <c r="J266" s="193">
        <f>J267+J268</f>
        <v>5</v>
      </c>
      <c r="K266" s="62" t="s">
        <v>363</v>
      </c>
      <c r="L266" s="65" t="s">
        <v>199</v>
      </c>
      <c r="M266" s="68">
        <f>M267+M268</f>
        <v>3450</v>
      </c>
      <c r="N266" s="237">
        <f>N267+N268</f>
        <v>1150</v>
      </c>
      <c r="O266" s="219">
        <f>O267+O268</f>
        <v>1150</v>
      </c>
      <c r="P266" s="237">
        <f>P267+P268</f>
        <v>1150</v>
      </c>
      <c r="Q266" s="373">
        <f>Q267+Q268</f>
        <v>1150</v>
      </c>
    </row>
    <row r="267" spans="2:22" ht="67.5" customHeight="1" x14ac:dyDescent="0.25">
      <c r="B267" s="62" t="s">
        <v>174</v>
      </c>
      <c r="C267" s="67">
        <v>10108</v>
      </c>
      <c r="D267" s="190">
        <v>801</v>
      </c>
      <c r="E267" s="190">
        <v>27300364</v>
      </c>
      <c r="F267" s="190" t="s">
        <v>192</v>
      </c>
      <c r="G267" s="70" t="s">
        <v>370</v>
      </c>
      <c r="H267" s="75" t="s">
        <v>218</v>
      </c>
      <c r="I267" s="93" t="s">
        <v>240</v>
      </c>
      <c r="J267" s="193" t="s">
        <v>373</v>
      </c>
      <c r="K267" s="62" t="s">
        <v>363</v>
      </c>
      <c r="L267" s="65" t="s">
        <v>199</v>
      </c>
      <c r="M267" s="68">
        <f>N267+O267+P267</f>
        <v>2070</v>
      </c>
      <c r="N267" s="236">
        <v>690</v>
      </c>
      <c r="O267" s="323">
        <v>690</v>
      </c>
      <c r="P267" s="236">
        <v>690</v>
      </c>
      <c r="Q267" s="77">
        <v>690</v>
      </c>
    </row>
    <row r="268" spans="2:22" ht="68.25" customHeight="1" thickBot="1" x14ac:dyDescent="0.3">
      <c r="B268" s="62" t="s">
        <v>174</v>
      </c>
      <c r="C268" s="67">
        <v>10108</v>
      </c>
      <c r="D268" s="190">
        <v>801</v>
      </c>
      <c r="E268" s="190">
        <v>27300364</v>
      </c>
      <c r="F268" s="190" t="s">
        <v>192</v>
      </c>
      <c r="G268" s="70" t="s">
        <v>371</v>
      </c>
      <c r="H268" s="75" t="s">
        <v>217</v>
      </c>
      <c r="I268" s="93" t="s">
        <v>240</v>
      </c>
      <c r="J268" s="193" t="s">
        <v>374</v>
      </c>
      <c r="K268" s="62" t="s">
        <v>363</v>
      </c>
      <c r="L268" s="65" t="s">
        <v>199</v>
      </c>
      <c r="M268" s="68">
        <f>N268+O268+P268</f>
        <v>1380</v>
      </c>
      <c r="N268" s="236">
        <v>460</v>
      </c>
      <c r="O268" s="323">
        <v>460</v>
      </c>
      <c r="P268" s="236">
        <v>460</v>
      </c>
      <c r="Q268" s="367">
        <v>460</v>
      </c>
    </row>
    <row r="269" spans="2:22" ht="82.5" customHeight="1" x14ac:dyDescent="0.25">
      <c r="B269" s="62" t="s">
        <v>174</v>
      </c>
      <c r="C269" s="67">
        <v>60301</v>
      </c>
      <c r="D269" s="190" t="s">
        <v>116</v>
      </c>
      <c r="E269" s="190" t="s">
        <v>116</v>
      </c>
      <c r="F269" s="190" t="s">
        <v>116</v>
      </c>
      <c r="G269" s="69" t="s">
        <v>675</v>
      </c>
      <c r="H269" s="75" t="s">
        <v>454</v>
      </c>
      <c r="I269" s="93" t="s">
        <v>240</v>
      </c>
      <c r="J269" s="193">
        <f>J270+J271</f>
        <v>22</v>
      </c>
      <c r="K269" s="62" t="s">
        <v>363</v>
      </c>
      <c r="L269" s="65" t="s">
        <v>199</v>
      </c>
      <c r="M269" s="68">
        <f>N269+O269+P269</f>
        <v>14400</v>
      </c>
      <c r="N269" s="237">
        <f>N270+N271</f>
        <v>4800</v>
      </c>
      <c r="O269" s="219">
        <f>O270+O271</f>
        <v>4800</v>
      </c>
      <c r="P269" s="237">
        <f>P270+P271</f>
        <v>4800</v>
      </c>
      <c r="Q269" s="373">
        <f>Q270+Q271</f>
        <v>4800</v>
      </c>
    </row>
    <row r="270" spans="2:22" ht="83.25" customHeight="1" x14ac:dyDescent="0.25">
      <c r="B270" s="62" t="s">
        <v>174</v>
      </c>
      <c r="C270" s="67">
        <v>60301</v>
      </c>
      <c r="D270" s="190">
        <v>801</v>
      </c>
      <c r="E270" s="190">
        <v>60301</v>
      </c>
      <c r="F270" s="190" t="s">
        <v>192</v>
      </c>
      <c r="G270" s="70" t="s">
        <v>377</v>
      </c>
      <c r="H270" s="75" t="s">
        <v>453</v>
      </c>
      <c r="I270" s="93" t="s">
        <v>240</v>
      </c>
      <c r="J270" s="193" t="s">
        <v>372</v>
      </c>
      <c r="K270" s="62" t="s">
        <v>363</v>
      </c>
      <c r="L270" s="65" t="s">
        <v>199</v>
      </c>
      <c r="M270" s="68">
        <f>N270+O270+P270</f>
        <v>3600</v>
      </c>
      <c r="N270" s="236">
        <v>1200</v>
      </c>
      <c r="O270" s="323">
        <v>1200</v>
      </c>
      <c r="P270" s="236">
        <v>1200</v>
      </c>
      <c r="Q270" s="77">
        <v>1200</v>
      </c>
    </row>
    <row r="271" spans="2:22" ht="67.5" customHeight="1" thickBot="1" x14ac:dyDescent="0.3">
      <c r="B271" s="180" t="s">
        <v>174</v>
      </c>
      <c r="C271" s="185">
        <v>60301</v>
      </c>
      <c r="D271" s="184">
        <v>801</v>
      </c>
      <c r="E271" s="184">
        <v>60301</v>
      </c>
      <c r="F271" s="184" t="s">
        <v>192</v>
      </c>
      <c r="G271" s="71" t="s">
        <v>378</v>
      </c>
      <c r="H271" s="95" t="s">
        <v>526</v>
      </c>
      <c r="I271" s="96" t="s">
        <v>240</v>
      </c>
      <c r="J271" s="97" t="s">
        <v>386</v>
      </c>
      <c r="K271" s="180" t="s">
        <v>363</v>
      </c>
      <c r="L271" s="83" t="s">
        <v>199</v>
      </c>
      <c r="M271" s="350">
        <f>N271+O271+P271</f>
        <v>10800</v>
      </c>
      <c r="N271" s="379">
        <v>3600</v>
      </c>
      <c r="O271" s="355">
        <v>3600</v>
      </c>
      <c r="P271" s="379">
        <v>3600</v>
      </c>
      <c r="Q271" s="367">
        <v>3600</v>
      </c>
    </row>
    <row r="272" spans="2:22" ht="47.25" x14ac:dyDescent="0.25">
      <c r="B272" s="123" t="s">
        <v>576</v>
      </c>
      <c r="C272" s="190" t="s">
        <v>116</v>
      </c>
      <c r="D272" s="190" t="s">
        <v>116</v>
      </c>
      <c r="E272" s="190" t="s">
        <v>116</v>
      </c>
      <c r="F272" s="190" t="s">
        <v>116</v>
      </c>
      <c r="G272" s="116" t="s">
        <v>578</v>
      </c>
      <c r="H272" s="121" t="s">
        <v>580</v>
      </c>
      <c r="I272" s="53" t="s">
        <v>240</v>
      </c>
      <c r="J272" s="120" t="s">
        <v>374</v>
      </c>
      <c r="K272" s="120" t="s">
        <v>363</v>
      </c>
      <c r="L272" s="120"/>
      <c r="M272" s="205"/>
      <c r="N272" s="383">
        <f>N274+N275</f>
        <v>36126.990000000005</v>
      </c>
      <c r="O272" s="374">
        <v>0</v>
      </c>
      <c r="P272" s="383">
        <v>0</v>
      </c>
      <c r="Q272" s="374">
        <v>0</v>
      </c>
    </row>
    <row r="273" spans="2:22" ht="48" thickBot="1" x14ac:dyDescent="0.3">
      <c r="B273" s="123" t="s">
        <v>576</v>
      </c>
      <c r="C273" s="118" t="s">
        <v>295</v>
      </c>
      <c r="D273" s="190" t="s">
        <v>116</v>
      </c>
      <c r="E273" s="190" t="s">
        <v>116</v>
      </c>
      <c r="F273" s="190" t="s">
        <v>116</v>
      </c>
      <c r="G273" s="116" t="s">
        <v>588</v>
      </c>
      <c r="H273" s="117" t="s">
        <v>580</v>
      </c>
      <c r="I273" s="53" t="s">
        <v>240</v>
      </c>
      <c r="J273" s="118">
        <f>J274+J275</f>
        <v>2</v>
      </c>
      <c r="K273" s="120" t="s">
        <v>363</v>
      </c>
      <c r="L273" s="120"/>
      <c r="M273" s="205"/>
      <c r="N273" s="237">
        <f>N274+N275</f>
        <v>36126.990000000005</v>
      </c>
      <c r="O273" s="395"/>
      <c r="P273" s="260"/>
      <c r="Q273" s="274"/>
    </row>
    <row r="274" spans="2:22" ht="47.25" x14ac:dyDescent="0.25">
      <c r="B274" s="98" t="s">
        <v>576</v>
      </c>
      <c r="C274" s="99" t="s">
        <v>295</v>
      </c>
      <c r="D274" s="99">
        <v>804</v>
      </c>
      <c r="E274" s="99">
        <v>27301823</v>
      </c>
      <c r="F274" s="101" t="s">
        <v>581</v>
      </c>
      <c r="G274" s="100" t="s">
        <v>613</v>
      </c>
      <c r="H274" s="100" t="s">
        <v>580</v>
      </c>
      <c r="I274" s="108" t="s">
        <v>240</v>
      </c>
      <c r="J274" s="99">
        <v>1</v>
      </c>
      <c r="K274" s="102" t="s">
        <v>363</v>
      </c>
      <c r="L274" s="99"/>
      <c r="M274" s="392"/>
      <c r="N274" s="398">
        <f>28700+576.99</f>
        <v>29276.99</v>
      </c>
      <c r="O274" s="396"/>
      <c r="P274" s="203"/>
      <c r="Q274" s="272"/>
    </row>
    <row r="275" spans="2:22" ht="48" thickBot="1" x14ac:dyDescent="0.3">
      <c r="B275" s="103" t="s">
        <v>576</v>
      </c>
      <c r="C275" s="104" t="s">
        <v>295</v>
      </c>
      <c r="D275" s="104">
        <v>804</v>
      </c>
      <c r="E275" s="104" t="s">
        <v>579</v>
      </c>
      <c r="F275" s="105" t="s">
        <v>582</v>
      </c>
      <c r="G275" s="109" t="s">
        <v>594</v>
      </c>
      <c r="H275" s="107" t="s">
        <v>580</v>
      </c>
      <c r="I275" s="94" t="s">
        <v>240</v>
      </c>
      <c r="J275" s="104">
        <v>1</v>
      </c>
      <c r="K275" s="106" t="s">
        <v>363</v>
      </c>
      <c r="L275" s="104"/>
      <c r="M275" s="393"/>
      <c r="N275" s="263">
        <v>6850</v>
      </c>
      <c r="O275" s="397"/>
      <c r="P275" s="214"/>
      <c r="Q275" s="273"/>
    </row>
    <row r="276" spans="2:22" x14ac:dyDescent="0.25">
      <c r="N276" s="276"/>
      <c r="O276" s="276"/>
      <c r="P276" s="276"/>
      <c r="Q276" s="276"/>
      <c r="U276" s="51">
        <f>N257+N170+N115+N44+N14+N272</f>
        <v>654490.92908000003</v>
      </c>
      <c r="V276" s="51">
        <f>U276-N276</f>
        <v>654490.92908000003</v>
      </c>
    </row>
    <row r="278" spans="2:22" x14ac:dyDescent="0.25">
      <c r="N278" s="51"/>
      <c r="O278" s="51"/>
      <c r="P278" s="51"/>
      <c r="Q278" s="51"/>
    </row>
    <row r="286" spans="2:22" x14ac:dyDescent="0.25">
      <c r="G286" s="49"/>
    </row>
  </sheetData>
  <autoFilter ref="B10:S204" xr:uid="{00000000-0009-0000-0000-000009000000}"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</autoFilter>
  <mergeCells count="180">
    <mergeCell ref="P257:P262"/>
    <mergeCell ref="P226:P230"/>
    <mergeCell ref="O226:O230"/>
    <mergeCell ref="N170:N174"/>
    <mergeCell ref="N133:N134"/>
    <mergeCell ref="O68:O70"/>
    <mergeCell ref="P170:P174"/>
    <mergeCell ref="O170:O174"/>
    <mergeCell ref="Q133:Q134"/>
    <mergeCell ref="Q71:Q73"/>
    <mergeCell ref="Q115:Q119"/>
    <mergeCell ref="P71:P73"/>
    <mergeCell ref="P115:P119"/>
    <mergeCell ref="P68:P70"/>
    <mergeCell ref="Q170:Q174"/>
    <mergeCell ref="Q226:Q230"/>
    <mergeCell ref="Q257:Q262"/>
    <mergeCell ref="P121:P122"/>
    <mergeCell ref="Q121:Q122"/>
    <mergeCell ref="O125:O127"/>
    <mergeCell ref="P125:P127"/>
    <mergeCell ref="Q125:Q127"/>
    <mergeCell ref="O133:O134"/>
    <mergeCell ref="P133:P134"/>
    <mergeCell ref="B121:B122"/>
    <mergeCell ref="B115:B119"/>
    <mergeCell ref="C115:C119"/>
    <mergeCell ref="B10:B11"/>
    <mergeCell ref="C10:C11"/>
    <mergeCell ref="D10:D11"/>
    <mergeCell ref="B13:B18"/>
    <mergeCell ref="D36:D37"/>
    <mergeCell ref="C36:C37"/>
    <mergeCell ref="C13:C18"/>
    <mergeCell ref="B44:B49"/>
    <mergeCell ref="C57:C58"/>
    <mergeCell ref="D44:D49"/>
    <mergeCell ref="C44:C49"/>
    <mergeCell ref="B51:B56"/>
    <mergeCell ref="C51:C56"/>
    <mergeCell ref="C121:C122"/>
    <mergeCell ref="B71:B73"/>
    <mergeCell ref="D59:D61"/>
    <mergeCell ref="C59:C61"/>
    <mergeCell ref="F36:F37"/>
    <mergeCell ref="G13:G18"/>
    <mergeCell ref="C125:C127"/>
    <mergeCell ref="D125:D127"/>
    <mergeCell ref="B59:B61"/>
    <mergeCell ref="E64:E65"/>
    <mergeCell ref="D64:D65"/>
    <mergeCell ref="C64:C65"/>
    <mergeCell ref="B125:B127"/>
    <mergeCell ref="E115:E119"/>
    <mergeCell ref="D115:D119"/>
    <mergeCell ref="E71:E73"/>
    <mergeCell ref="D71:D73"/>
    <mergeCell ref="G115:G119"/>
    <mergeCell ref="F115:F119"/>
    <mergeCell ref="E121:E122"/>
    <mergeCell ref="D121:D122"/>
    <mergeCell ref="B36:B37"/>
    <mergeCell ref="E57:E58"/>
    <mergeCell ref="D57:D58"/>
    <mergeCell ref="C71:C73"/>
    <mergeCell ref="B57:B58"/>
    <mergeCell ref="E13:E18"/>
    <mergeCell ref="D13:D18"/>
    <mergeCell ref="G10:G11"/>
    <mergeCell ref="K170:K174"/>
    <mergeCell ref="E133:E134"/>
    <mergeCell ref="D133:D134"/>
    <mergeCell ref="K44:K49"/>
    <mergeCell ref="F64:F65"/>
    <mergeCell ref="K14:K18"/>
    <mergeCell ref="K121:K122"/>
    <mergeCell ref="K68:K70"/>
    <mergeCell ref="G44:G49"/>
    <mergeCell ref="F44:F49"/>
    <mergeCell ref="E44:E49"/>
    <mergeCell ref="F57:F58"/>
    <mergeCell ref="H10:Q10"/>
    <mergeCell ref="Q14:Q18"/>
    <mergeCell ref="Q36:Q37"/>
    <mergeCell ref="Q44:Q49"/>
    <mergeCell ref="G170:G174"/>
    <mergeCell ref="K71:K73"/>
    <mergeCell ref="K115:K119"/>
    <mergeCell ref="N115:N119"/>
    <mergeCell ref="F170:F174"/>
    <mergeCell ref="K125:K127"/>
    <mergeCell ref="N44:N49"/>
    <mergeCell ref="N125:N127"/>
    <mergeCell ref="E36:E37"/>
    <mergeCell ref="N68:N70"/>
    <mergeCell ref="O121:O122"/>
    <mergeCell ref="F121:F122"/>
    <mergeCell ref="N71:N73"/>
    <mergeCell ref="O14:O18"/>
    <mergeCell ref="P14:P18"/>
    <mergeCell ref="O44:O49"/>
    <mergeCell ref="P44:P49"/>
    <mergeCell ref="O71:O73"/>
    <mergeCell ref="O115:O119"/>
    <mergeCell ref="O36:O37"/>
    <mergeCell ref="P64:P65"/>
    <mergeCell ref="P66:P67"/>
    <mergeCell ref="O51:O56"/>
    <mergeCell ref="N14:N18"/>
    <mergeCell ref="F13:F18"/>
    <mergeCell ref="P36:P37"/>
    <mergeCell ref="P57:P58"/>
    <mergeCell ref="K59:K61"/>
    <mergeCell ref="N59:N61"/>
    <mergeCell ref="O59:O61"/>
    <mergeCell ref="E59:E61"/>
    <mergeCell ref="O257:O262"/>
    <mergeCell ref="E257:E262"/>
    <mergeCell ref="N36:N37"/>
    <mergeCell ref="K133:K134"/>
    <mergeCell ref="B257:B262"/>
    <mergeCell ref="B133:B134"/>
    <mergeCell ref="B170:B174"/>
    <mergeCell ref="C170:C174"/>
    <mergeCell ref="D170:D174"/>
    <mergeCell ref="C133:C134"/>
    <mergeCell ref="C257:C262"/>
    <mergeCell ref="E170:E174"/>
    <mergeCell ref="N226:N230"/>
    <mergeCell ref="K226:K230"/>
    <mergeCell ref="K257:K262"/>
    <mergeCell ref="E125:E127"/>
    <mergeCell ref="D257:D262"/>
    <mergeCell ref="N257:N262"/>
    <mergeCell ref="G257:G262"/>
    <mergeCell ref="F257:F262"/>
    <mergeCell ref="N121:N122"/>
    <mergeCell ref="F133:F134"/>
    <mergeCell ref="F125:F127"/>
    <mergeCell ref="F71:F73"/>
    <mergeCell ref="Q66:Q67"/>
    <mergeCell ref="B66:B67"/>
    <mergeCell ref="C66:C67"/>
    <mergeCell ref="D66:D67"/>
    <mergeCell ref="F62:F63"/>
    <mergeCell ref="E62:E63"/>
    <mergeCell ref="D62:D63"/>
    <mergeCell ref="C62:C63"/>
    <mergeCell ref="B62:B63"/>
    <mergeCell ref="F66:F67"/>
    <mergeCell ref="O66:O67"/>
    <mergeCell ref="N62:N63"/>
    <mergeCell ref="O62:O63"/>
    <mergeCell ref="K64:K65"/>
    <mergeCell ref="N64:N65"/>
    <mergeCell ref="O64:O65"/>
    <mergeCell ref="Q59:Q61"/>
    <mergeCell ref="Q64:Q65"/>
    <mergeCell ref="B64:B65"/>
    <mergeCell ref="C68:C70"/>
    <mergeCell ref="B68:B70"/>
    <mergeCell ref="D51:D56"/>
    <mergeCell ref="E51:E56"/>
    <mergeCell ref="F51:F56"/>
    <mergeCell ref="N51:N56"/>
    <mergeCell ref="E66:E67"/>
    <mergeCell ref="N66:N67"/>
    <mergeCell ref="Q68:Q70"/>
    <mergeCell ref="F68:F70"/>
    <mergeCell ref="E68:E70"/>
    <mergeCell ref="D68:D70"/>
    <mergeCell ref="P51:P56"/>
    <mergeCell ref="Q51:Q56"/>
    <mergeCell ref="P62:P63"/>
    <mergeCell ref="Q62:Q63"/>
    <mergeCell ref="F59:F61"/>
    <mergeCell ref="P59:P61"/>
    <mergeCell ref="O57:O58"/>
    <mergeCell ref="N57:N58"/>
    <mergeCell ref="Q57:Q58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51" fitToHeight="0" orientation="landscape" r:id="rId1"/>
  <headerFooter differentFirst="1" alignWithMargins="0">
    <oddHeader>&amp;C&amp;P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5"/>
    <pageSetUpPr fitToPage="1"/>
  </sheetPr>
  <dimension ref="B1:W280"/>
  <sheetViews>
    <sheetView showWhiteSpace="0" topLeftCell="A6" zoomScale="75" zoomScaleNormal="75" workbookViewId="0">
      <pane ySplit="1605" topLeftCell="A43" activePane="bottomLeft"/>
      <selection activeCell="D6" sqref="D1:D65536"/>
      <selection pane="bottomLeft" activeCell="O43" sqref="O43:O50"/>
    </sheetView>
  </sheetViews>
  <sheetFormatPr defaultColWidth="8.85546875" defaultRowHeight="15.75" x14ac:dyDescent="0.25"/>
  <cols>
    <col min="1" max="1" width="2.140625" style="37" customWidth="1"/>
    <col min="2" max="2" width="14" style="37" customWidth="1"/>
    <col min="3" max="3" width="13.140625" style="37" customWidth="1"/>
    <col min="4" max="4" width="10.7109375" style="37" hidden="1" customWidth="1"/>
    <col min="5" max="5" width="17.28515625" style="37" customWidth="1"/>
    <col min="6" max="6" width="44" style="37" customWidth="1"/>
    <col min="7" max="7" width="25.140625" style="37" customWidth="1"/>
    <col min="8" max="8" width="9.5703125" style="37" customWidth="1"/>
    <col min="9" max="9" width="15" style="37" customWidth="1"/>
    <col min="10" max="10" width="14.85546875" style="37" customWidth="1"/>
    <col min="11" max="11" width="13.28515625" style="37" hidden="1" customWidth="1"/>
    <col min="12" max="12" width="14.42578125" style="37" hidden="1" customWidth="1"/>
    <col min="13" max="13" width="14.5703125" style="37" hidden="1" customWidth="1"/>
    <col min="14" max="14" width="12.85546875" style="37" customWidth="1"/>
    <col min="15" max="15" width="13.7109375" style="37" customWidth="1"/>
    <col min="16" max="16" width="14" style="37" customWidth="1"/>
    <col min="17" max="17" width="17.28515625" style="37" customWidth="1"/>
    <col min="18" max="18" width="12.5703125" style="37" customWidth="1"/>
    <col min="19" max="19" width="8.85546875" style="37" customWidth="1"/>
    <col min="20" max="20" width="14.28515625" style="37" customWidth="1"/>
    <col min="21" max="21" width="39.5703125" style="37" customWidth="1"/>
    <col min="22" max="22" width="8.85546875" style="37" customWidth="1"/>
    <col min="23" max="23" width="19.5703125" style="37" customWidth="1"/>
    <col min="24" max="16384" width="8.85546875" style="37"/>
  </cols>
  <sheetData>
    <row r="1" spans="2:23" x14ac:dyDescent="0.25">
      <c r="I1" s="54" t="s">
        <v>497</v>
      </c>
      <c r="M1" s="54"/>
    </row>
    <row r="2" spans="2:23" x14ac:dyDescent="0.25">
      <c r="I2" s="54" t="s">
        <v>498</v>
      </c>
      <c r="M2" s="54"/>
    </row>
    <row r="3" spans="2:23" x14ac:dyDescent="0.25">
      <c r="I3" s="54" t="s">
        <v>499</v>
      </c>
      <c r="M3" s="54"/>
    </row>
    <row r="4" spans="2:23" x14ac:dyDescent="0.25">
      <c r="I4" s="54" t="s">
        <v>500</v>
      </c>
      <c r="M4" s="54"/>
    </row>
    <row r="5" spans="2:23" x14ac:dyDescent="0.25">
      <c r="I5" s="54" t="s">
        <v>501</v>
      </c>
      <c r="M5" s="54"/>
    </row>
    <row r="6" spans="2:23" x14ac:dyDescent="0.25">
      <c r="I6" s="54" t="s">
        <v>502</v>
      </c>
      <c r="M6" s="54"/>
    </row>
    <row r="7" spans="2:23" ht="18.75" x14ac:dyDescent="0.25">
      <c r="B7" s="81" t="s">
        <v>152</v>
      </c>
      <c r="C7" s="82"/>
      <c r="D7" s="82"/>
      <c r="E7" s="82"/>
      <c r="F7" s="82"/>
      <c r="G7" s="82"/>
      <c r="H7" s="82"/>
      <c r="I7" s="82"/>
      <c r="J7" s="80"/>
      <c r="K7" s="82"/>
      <c r="L7" s="82"/>
      <c r="M7" s="82"/>
      <c r="N7" s="38"/>
      <c r="O7" s="38"/>
    </row>
    <row r="8" spans="2:23" ht="56.25" x14ac:dyDescent="0.25">
      <c r="B8" s="81" t="s">
        <v>747</v>
      </c>
      <c r="C8" s="82"/>
      <c r="D8" s="82"/>
      <c r="E8" s="82"/>
      <c r="F8" s="82"/>
      <c r="G8" s="82"/>
      <c r="H8" s="82"/>
      <c r="I8" s="82"/>
      <c r="J8" s="80"/>
      <c r="K8" s="82"/>
      <c r="L8" s="82"/>
      <c r="M8" s="82"/>
      <c r="N8" s="38"/>
      <c r="O8" s="38"/>
    </row>
    <row r="9" spans="2:23" ht="16.5" thickBot="1" x14ac:dyDescent="0.3"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</row>
    <row r="10" spans="2:23" ht="35.25" customHeight="1" thickBot="1" x14ac:dyDescent="0.3">
      <c r="B10" s="1034" t="s">
        <v>151</v>
      </c>
      <c r="C10" s="1040" t="s">
        <v>4</v>
      </c>
      <c r="D10" s="58" t="s">
        <v>50</v>
      </c>
      <c r="E10" s="1103" t="s">
        <v>748</v>
      </c>
      <c r="F10" s="1040" t="s">
        <v>149</v>
      </c>
      <c r="G10" s="1101" t="s">
        <v>17</v>
      </c>
      <c r="H10" s="1102"/>
      <c r="I10" s="1102"/>
      <c r="J10" s="1102"/>
      <c r="K10" s="1102"/>
      <c r="L10" s="1102"/>
      <c r="M10" s="1102"/>
      <c r="N10" s="1102"/>
      <c r="O10" s="1102"/>
      <c r="P10" s="1103"/>
    </row>
    <row r="11" spans="2:23" ht="48" thickBot="1" x14ac:dyDescent="0.3">
      <c r="B11" s="1052"/>
      <c r="C11" s="1071"/>
      <c r="D11" s="179" t="s">
        <v>51</v>
      </c>
      <c r="E11" s="1145"/>
      <c r="F11" s="1071"/>
      <c r="G11" s="182" t="s">
        <v>18</v>
      </c>
      <c r="H11" s="80" t="s">
        <v>148</v>
      </c>
      <c r="I11" s="182" t="s">
        <v>150</v>
      </c>
      <c r="J11" s="72" t="s">
        <v>58</v>
      </c>
      <c r="K11" s="52">
        <v>2020</v>
      </c>
      <c r="L11" s="63" t="s">
        <v>46</v>
      </c>
      <c r="M11" s="182">
        <v>2021</v>
      </c>
      <c r="N11" s="196">
        <v>2022</v>
      </c>
      <c r="O11" s="197">
        <v>2023</v>
      </c>
      <c r="P11" s="285">
        <v>2024</v>
      </c>
      <c r="W11" s="51"/>
    </row>
    <row r="12" spans="2:23" ht="16.5" thickBot="1" x14ac:dyDescent="0.3">
      <c r="B12" s="61">
        <v>1</v>
      </c>
      <c r="C12" s="73">
        <v>2</v>
      </c>
      <c r="D12" s="74">
        <v>4</v>
      </c>
      <c r="E12" s="61">
        <v>3</v>
      </c>
      <c r="F12" s="73">
        <v>4</v>
      </c>
      <c r="G12" s="61">
        <v>5</v>
      </c>
      <c r="H12" s="73">
        <v>6</v>
      </c>
      <c r="I12" s="61">
        <v>9</v>
      </c>
      <c r="J12" s="60">
        <v>10</v>
      </c>
      <c r="K12" s="57">
        <v>11</v>
      </c>
      <c r="L12" s="64">
        <v>12</v>
      </c>
      <c r="M12" s="61">
        <v>11</v>
      </c>
      <c r="N12" s="56">
        <v>12</v>
      </c>
      <c r="O12" s="198">
        <v>13</v>
      </c>
      <c r="P12" s="202">
        <v>14</v>
      </c>
    </row>
    <row r="13" spans="2:23" ht="63" hidden="1" customHeight="1" thickBot="1" x14ac:dyDescent="0.3">
      <c r="B13" s="1022" t="s">
        <v>63</v>
      </c>
      <c r="C13" s="1073" t="s">
        <v>116</v>
      </c>
      <c r="D13" s="1073" t="s">
        <v>116</v>
      </c>
      <c r="E13" s="1055" t="s">
        <v>116</v>
      </c>
      <c r="F13" s="1080" t="s">
        <v>583</v>
      </c>
      <c r="G13" s="182"/>
      <c r="H13" s="186"/>
      <c r="I13" s="83"/>
      <c r="J13" s="83"/>
      <c r="K13" s="83"/>
      <c r="L13" s="83"/>
      <c r="M13" s="122"/>
      <c r="N13" s="55"/>
      <c r="O13" s="204"/>
      <c r="P13" s="203"/>
    </row>
    <row r="14" spans="2:23" ht="46.5" customHeight="1" x14ac:dyDescent="0.25">
      <c r="B14" s="1023"/>
      <c r="C14" s="1073"/>
      <c r="D14" s="1073"/>
      <c r="E14" s="1053"/>
      <c r="F14" s="1080"/>
      <c r="G14" s="75" t="s">
        <v>230</v>
      </c>
      <c r="H14" s="84" t="s">
        <v>240</v>
      </c>
      <c r="I14" s="192">
        <v>191</v>
      </c>
      <c r="J14" s="1050" t="s">
        <v>363</v>
      </c>
      <c r="K14" s="85"/>
      <c r="L14" s="85"/>
      <c r="M14" s="1146">
        <f>M19+M30+M36+M39+M42</f>
        <v>20068.739999999998</v>
      </c>
      <c r="N14" s="1146">
        <f>N19+N30+N36+N39+N42</f>
        <v>24484.012000000002</v>
      </c>
      <c r="O14" s="1146">
        <f>O19+O30+O36+O39+O42</f>
        <v>23214.412</v>
      </c>
      <c r="P14" s="1146">
        <f>P19+P30+P36+P39+P42</f>
        <v>20933.672000000002</v>
      </c>
      <c r="W14" s="51"/>
    </row>
    <row r="15" spans="2:23" ht="39" customHeight="1" x14ac:dyDescent="0.25">
      <c r="B15" s="1023"/>
      <c r="C15" s="1073"/>
      <c r="D15" s="1073"/>
      <c r="E15" s="1053"/>
      <c r="F15" s="1080"/>
      <c r="G15" s="75" t="s">
        <v>231</v>
      </c>
      <c r="H15" s="84" t="s">
        <v>241</v>
      </c>
      <c r="I15" s="193">
        <v>91000</v>
      </c>
      <c r="J15" s="1023"/>
      <c r="K15" s="65"/>
      <c r="L15" s="65"/>
      <c r="M15" s="1147"/>
      <c r="N15" s="1147"/>
      <c r="O15" s="1147"/>
      <c r="P15" s="1147"/>
      <c r="W15" s="51"/>
    </row>
    <row r="16" spans="2:23" ht="37.5" customHeight="1" x14ac:dyDescent="0.25">
      <c r="B16" s="1023"/>
      <c r="C16" s="1073"/>
      <c r="D16" s="1073"/>
      <c r="E16" s="1053"/>
      <c r="F16" s="1080"/>
      <c r="G16" s="75" t="s">
        <v>187</v>
      </c>
      <c r="H16" s="84" t="s">
        <v>241</v>
      </c>
      <c r="I16" s="193">
        <v>55</v>
      </c>
      <c r="J16" s="1023"/>
      <c r="K16" s="65"/>
      <c r="L16" s="65"/>
      <c r="M16" s="1147"/>
      <c r="N16" s="1147"/>
      <c r="O16" s="1147"/>
      <c r="P16" s="1147"/>
    </row>
    <row r="17" spans="2:23" ht="33" customHeight="1" x14ac:dyDescent="0.25">
      <c r="B17" s="1023"/>
      <c r="C17" s="1073"/>
      <c r="D17" s="1073"/>
      <c r="E17" s="1053"/>
      <c r="F17" s="1080"/>
      <c r="G17" s="75" t="s">
        <v>232</v>
      </c>
      <c r="H17" s="84" t="s">
        <v>240</v>
      </c>
      <c r="I17" s="193">
        <v>50</v>
      </c>
      <c r="J17" s="1023"/>
      <c r="K17" s="65"/>
      <c r="L17" s="65"/>
      <c r="M17" s="1147"/>
      <c r="N17" s="1147"/>
      <c r="O17" s="1147"/>
      <c r="P17" s="1147"/>
      <c r="W17" s="51"/>
    </row>
    <row r="18" spans="2:23" ht="86.25" customHeight="1" x14ac:dyDescent="0.25">
      <c r="B18" s="1051"/>
      <c r="C18" s="1072"/>
      <c r="D18" s="1072"/>
      <c r="E18" s="1054"/>
      <c r="F18" s="1081"/>
      <c r="G18" s="75" t="s">
        <v>254</v>
      </c>
      <c r="H18" s="84" t="s">
        <v>240</v>
      </c>
      <c r="I18" s="193">
        <v>1</v>
      </c>
      <c r="J18" s="1051"/>
      <c r="K18" s="65"/>
      <c r="L18" s="65"/>
      <c r="M18" s="1148"/>
      <c r="N18" s="1148"/>
      <c r="O18" s="1148"/>
      <c r="P18" s="1148"/>
    </row>
    <row r="19" spans="2:23" ht="67.5" customHeight="1" x14ac:dyDescent="0.25">
      <c r="B19" s="62" t="s">
        <v>63</v>
      </c>
      <c r="C19" s="67">
        <v>40404</v>
      </c>
      <c r="D19" s="67" t="s">
        <v>116</v>
      </c>
      <c r="E19" s="194" t="s">
        <v>116</v>
      </c>
      <c r="F19" s="69" t="s">
        <v>585</v>
      </c>
      <c r="G19" s="75" t="s">
        <v>230</v>
      </c>
      <c r="H19" s="191" t="s">
        <v>240</v>
      </c>
      <c r="I19" s="193" t="s">
        <v>387</v>
      </c>
      <c r="J19" s="62" t="s">
        <v>363</v>
      </c>
      <c r="K19" s="62" t="s">
        <v>462</v>
      </c>
      <c r="L19" s="62" t="s">
        <v>528</v>
      </c>
      <c r="M19" s="215">
        <f>M20+M21+M22+M23+M24+M25+M26+M27+M28</f>
        <v>2908.8589999999999</v>
      </c>
      <c r="N19" s="215">
        <v>3909.74</v>
      </c>
      <c r="O19" s="215">
        <v>3909.74</v>
      </c>
      <c r="P19" s="215">
        <v>3909.74</v>
      </c>
      <c r="Q19" s="51"/>
      <c r="R19" s="149"/>
      <c r="W19" s="51"/>
    </row>
    <row r="20" spans="2:23" ht="101.25" customHeight="1" x14ac:dyDescent="0.25">
      <c r="B20" s="62" t="s">
        <v>63</v>
      </c>
      <c r="C20" s="67">
        <v>40404</v>
      </c>
      <c r="D20" s="67">
        <v>27300364</v>
      </c>
      <c r="E20" s="190" t="s">
        <v>614</v>
      </c>
      <c r="F20" s="86" t="s">
        <v>389</v>
      </c>
      <c r="G20" s="75" t="s">
        <v>391</v>
      </c>
      <c r="H20" s="191" t="s">
        <v>393</v>
      </c>
      <c r="I20" s="193" t="s">
        <v>394</v>
      </c>
      <c r="J20" s="62" t="s">
        <v>363</v>
      </c>
      <c r="K20" s="65" t="s">
        <v>199</v>
      </c>
      <c r="L20" s="65">
        <f t="shared" ref="L20:L29" si="0">M20+N20+O20</f>
        <v>1017.6600000000001</v>
      </c>
      <c r="M20" s="76" t="s">
        <v>631</v>
      </c>
      <c r="N20" s="277" t="s">
        <v>264</v>
      </c>
      <c r="O20" s="278" t="s">
        <v>264</v>
      </c>
      <c r="P20" s="279" t="s">
        <v>264</v>
      </c>
      <c r="Q20" s="51"/>
      <c r="R20" s="51"/>
    </row>
    <row r="21" spans="2:23" ht="21.75" customHeight="1" x14ac:dyDescent="0.25">
      <c r="B21" s="62" t="s">
        <v>63</v>
      </c>
      <c r="C21" s="67">
        <v>40404</v>
      </c>
      <c r="D21" s="67">
        <v>27300364</v>
      </c>
      <c r="E21" s="190" t="s">
        <v>192</v>
      </c>
      <c r="F21" s="86" t="s">
        <v>390</v>
      </c>
      <c r="G21" s="75" t="s">
        <v>392</v>
      </c>
      <c r="H21" s="191" t="s">
        <v>393</v>
      </c>
      <c r="I21" s="193" t="s">
        <v>395</v>
      </c>
      <c r="J21" s="62" t="s">
        <v>363</v>
      </c>
      <c r="K21" s="65" t="s">
        <v>199</v>
      </c>
      <c r="L21" s="65">
        <f t="shared" si="0"/>
        <v>1847.7049999999999</v>
      </c>
      <c r="M21" s="76" t="s">
        <v>630</v>
      </c>
      <c r="N21" s="277" t="s">
        <v>265</v>
      </c>
      <c r="O21" s="278" t="s">
        <v>265</v>
      </c>
      <c r="P21" s="279" t="s">
        <v>265</v>
      </c>
      <c r="R21" s="149"/>
    </row>
    <row r="22" spans="2:23" ht="57" customHeight="1" x14ac:dyDescent="0.25">
      <c r="B22" s="62" t="s">
        <v>63</v>
      </c>
      <c r="C22" s="67">
        <v>40404</v>
      </c>
      <c r="D22" s="67">
        <v>27300364</v>
      </c>
      <c r="E22" s="190" t="s">
        <v>192</v>
      </c>
      <c r="F22" s="86" t="s">
        <v>402</v>
      </c>
      <c r="G22" s="75" t="s">
        <v>615</v>
      </c>
      <c r="H22" s="191" t="s">
        <v>403</v>
      </c>
      <c r="I22" s="193" t="s">
        <v>404</v>
      </c>
      <c r="J22" s="62" t="s">
        <v>363</v>
      </c>
      <c r="K22" s="65" t="s">
        <v>199</v>
      </c>
      <c r="L22" s="65">
        <f t="shared" si="0"/>
        <v>3447.8539999999998</v>
      </c>
      <c r="M22" s="77">
        <f>1051.85+71.964+0.04</f>
        <v>1123.8539999999998</v>
      </c>
      <c r="N22" s="277" t="s">
        <v>266</v>
      </c>
      <c r="O22" s="278" t="s">
        <v>266</v>
      </c>
      <c r="P22" s="279" t="s">
        <v>266</v>
      </c>
      <c r="R22" s="149"/>
    </row>
    <row r="23" spans="2:23" ht="35.25" customHeight="1" x14ac:dyDescent="0.25">
      <c r="B23" s="62" t="s">
        <v>63</v>
      </c>
      <c r="C23" s="67">
        <v>40404</v>
      </c>
      <c r="D23" s="67">
        <v>27300364</v>
      </c>
      <c r="E23" s="190" t="s">
        <v>192</v>
      </c>
      <c r="F23" s="86" t="s">
        <v>399</v>
      </c>
      <c r="G23" s="75" t="s">
        <v>617</v>
      </c>
      <c r="H23" s="191" t="s">
        <v>400</v>
      </c>
      <c r="I23" s="193" t="s">
        <v>401</v>
      </c>
      <c r="J23" s="62" t="s">
        <v>363</v>
      </c>
      <c r="K23" s="65" t="s">
        <v>199</v>
      </c>
      <c r="L23" s="65">
        <f t="shared" si="0"/>
        <v>985.5</v>
      </c>
      <c r="M23" s="77">
        <f>314.1+14.4</f>
        <v>328.5</v>
      </c>
      <c r="N23" s="277" t="s">
        <v>267</v>
      </c>
      <c r="O23" s="278" t="s">
        <v>267</v>
      </c>
      <c r="P23" s="279" t="s">
        <v>267</v>
      </c>
    </row>
    <row r="24" spans="2:23" ht="32.25" customHeight="1" x14ac:dyDescent="0.25">
      <c r="B24" s="62" t="s">
        <v>63</v>
      </c>
      <c r="C24" s="67">
        <v>40404</v>
      </c>
      <c r="D24" s="67">
        <v>27300364</v>
      </c>
      <c r="E24" s="190" t="s">
        <v>192</v>
      </c>
      <c r="F24" s="86" t="s">
        <v>396</v>
      </c>
      <c r="G24" s="75" t="s">
        <v>397</v>
      </c>
      <c r="H24" s="191" t="s">
        <v>393</v>
      </c>
      <c r="I24" s="193" t="s">
        <v>398</v>
      </c>
      <c r="J24" s="62" t="s">
        <v>363</v>
      </c>
      <c r="K24" s="65" t="s">
        <v>199</v>
      </c>
      <c r="L24" s="65">
        <f t="shared" si="0"/>
        <v>120</v>
      </c>
      <c r="M24" s="76" t="s">
        <v>268</v>
      </c>
      <c r="N24" s="277" t="s">
        <v>268</v>
      </c>
      <c r="O24" s="278" t="s">
        <v>268</v>
      </c>
      <c r="P24" s="279" t="s">
        <v>268</v>
      </c>
    </row>
    <row r="25" spans="2:23" ht="50.25" customHeight="1" x14ac:dyDescent="0.25">
      <c r="B25" s="62" t="s">
        <v>63</v>
      </c>
      <c r="C25" s="67">
        <v>40404</v>
      </c>
      <c r="D25" s="67">
        <v>27300364</v>
      </c>
      <c r="E25" s="190" t="s">
        <v>192</v>
      </c>
      <c r="F25" s="86" t="s">
        <v>260</v>
      </c>
      <c r="G25" s="75" t="s">
        <v>230</v>
      </c>
      <c r="H25" s="191" t="s">
        <v>240</v>
      </c>
      <c r="I25" s="193" t="s">
        <v>263</v>
      </c>
      <c r="J25" s="62" t="s">
        <v>364</v>
      </c>
      <c r="K25" s="65" t="s">
        <v>199</v>
      </c>
      <c r="L25" s="65">
        <f t="shared" si="0"/>
        <v>300.42</v>
      </c>
      <c r="M25" s="76" t="s">
        <v>269</v>
      </c>
      <c r="N25" s="277" t="s">
        <v>269</v>
      </c>
      <c r="O25" s="278" t="s">
        <v>269</v>
      </c>
      <c r="P25" s="279" t="s">
        <v>269</v>
      </c>
    </row>
    <row r="26" spans="2:23" ht="50.25" customHeight="1" x14ac:dyDescent="0.25">
      <c r="B26" s="62" t="s">
        <v>63</v>
      </c>
      <c r="C26" s="67">
        <v>40404</v>
      </c>
      <c r="D26" s="67">
        <v>27300364</v>
      </c>
      <c r="E26" s="190" t="s">
        <v>192</v>
      </c>
      <c r="F26" s="86" t="s">
        <v>627</v>
      </c>
      <c r="G26" s="75" t="s">
        <v>230</v>
      </c>
      <c r="H26" s="191" t="s">
        <v>240</v>
      </c>
      <c r="I26" s="193" t="s">
        <v>263</v>
      </c>
      <c r="J26" s="62" t="s">
        <v>364</v>
      </c>
      <c r="K26" s="65" t="s">
        <v>199</v>
      </c>
      <c r="L26" s="65">
        <f t="shared" si="0"/>
        <v>150</v>
      </c>
      <c r="M26" s="76" t="s">
        <v>270</v>
      </c>
      <c r="N26" s="277" t="s">
        <v>270</v>
      </c>
      <c r="O26" s="278" t="s">
        <v>270</v>
      </c>
      <c r="P26" s="279" t="s">
        <v>270</v>
      </c>
    </row>
    <row r="27" spans="2:23" ht="63" x14ac:dyDescent="0.25">
      <c r="B27" s="62" t="s">
        <v>63</v>
      </c>
      <c r="C27" s="67">
        <v>40404</v>
      </c>
      <c r="D27" s="67">
        <v>27300364</v>
      </c>
      <c r="E27" s="190" t="s">
        <v>192</v>
      </c>
      <c r="F27" s="86" t="s">
        <v>261</v>
      </c>
      <c r="G27" s="75" t="s">
        <v>230</v>
      </c>
      <c r="H27" s="191" t="s">
        <v>240</v>
      </c>
      <c r="I27" s="193" t="s">
        <v>263</v>
      </c>
      <c r="J27" s="62" t="s">
        <v>364</v>
      </c>
      <c r="K27" s="65" t="s">
        <v>199</v>
      </c>
      <c r="L27" s="65">
        <f t="shared" si="0"/>
        <v>1458</v>
      </c>
      <c r="M27" s="76" t="s">
        <v>271</v>
      </c>
      <c r="N27" s="277" t="s">
        <v>271</v>
      </c>
      <c r="O27" s="278" t="s">
        <v>271</v>
      </c>
      <c r="P27" s="279" t="s">
        <v>271</v>
      </c>
    </row>
    <row r="28" spans="2:23" ht="48" thickBot="1" x14ac:dyDescent="0.3">
      <c r="B28" s="62" t="s">
        <v>63</v>
      </c>
      <c r="C28" s="67">
        <v>40404</v>
      </c>
      <c r="D28" s="67">
        <v>27300364</v>
      </c>
      <c r="E28" s="190" t="s">
        <v>192</v>
      </c>
      <c r="F28" s="86" t="s">
        <v>686</v>
      </c>
      <c r="G28" s="75" t="s">
        <v>230</v>
      </c>
      <c r="H28" s="191" t="s">
        <v>240</v>
      </c>
      <c r="I28" s="193" t="s">
        <v>263</v>
      </c>
      <c r="J28" s="62" t="s">
        <v>685</v>
      </c>
      <c r="K28" s="65" t="s">
        <v>199</v>
      </c>
      <c r="L28" s="65">
        <f t="shared" si="0"/>
        <v>240</v>
      </c>
      <c r="M28" s="76" t="s">
        <v>272</v>
      </c>
      <c r="N28" s="277" t="s">
        <v>272</v>
      </c>
      <c r="O28" s="278" t="s">
        <v>272</v>
      </c>
      <c r="P28" s="280" t="s">
        <v>272</v>
      </c>
    </row>
    <row r="29" spans="2:23" ht="63.75" hidden="1" thickBot="1" x14ac:dyDescent="0.3">
      <c r="B29" s="62" t="s">
        <v>63</v>
      </c>
      <c r="C29" s="67">
        <v>40404</v>
      </c>
      <c r="D29" s="67">
        <v>27300364</v>
      </c>
      <c r="E29" s="190" t="s">
        <v>192</v>
      </c>
      <c r="F29" s="86" t="s">
        <v>262</v>
      </c>
      <c r="G29" s="75" t="s">
        <v>230</v>
      </c>
      <c r="H29" s="191" t="s">
        <v>240</v>
      </c>
      <c r="I29" s="193" t="s">
        <v>386</v>
      </c>
      <c r="J29" s="62" t="s">
        <v>363</v>
      </c>
      <c r="K29" s="65" t="s">
        <v>199</v>
      </c>
      <c r="L29" s="65">
        <f t="shared" si="0"/>
        <v>1161.2</v>
      </c>
      <c r="M29" s="76" t="s">
        <v>468</v>
      </c>
      <c r="N29" s="65" t="s">
        <v>273</v>
      </c>
      <c r="O29" s="205" t="s">
        <v>273</v>
      </c>
      <c r="P29" s="228"/>
    </row>
    <row r="30" spans="2:23" ht="94.5" x14ac:dyDescent="0.25">
      <c r="B30" s="62" t="s">
        <v>63</v>
      </c>
      <c r="C30" s="67" t="s">
        <v>510</v>
      </c>
      <c r="D30" s="67" t="s">
        <v>116</v>
      </c>
      <c r="E30" s="190" t="s">
        <v>116</v>
      </c>
      <c r="F30" s="69" t="s">
        <v>236</v>
      </c>
      <c r="G30" s="75" t="s">
        <v>230</v>
      </c>
      <c r="H30" s="191" t="s">
        <v>240</v>
      </c>
      <c r="I30" s="119">
        <f>I31+I32+I33+I34+I35</f>
        <v>5</v>
      </c>
      <c r="J30" s="238" t="s">
        <v>363</v>
      </c>
      <c r="K30" s="218" t="s">
        <v>199</v>
      </c>
      <c r="L30" s="218">
        <f>SUM(L31:L35)</f>
        <v>5865</v>
      </c>
      <c r="M30" s="215">
        <f>M31+M32+M33+M34+M35</f>
        <v>1955</v>
      </c>
      <c r="N30" s="215">
        <v>2018</v>
      </c>
      <c r="O30" s="219">
        <v>2018</v>
      </c>
      <c r="P30" s="220">
        <v>2018</v>
      </c>
      <c r="R30" s="51"/>
    </row>
    <row r="31" spans="2:23" ht="51.75" customHeight="1" x14ac:dyDescent="0.25">
      <c r="B31" s="62" t="s">
        <v>63</v>
      </c>
      <c r="C31" s="67" t="s">
        <v>510</v>
      </c>
      <c r="D31" s="67">
        <v>27300364</v>
      </c>
      <c r="E31" s="190" t="s">
        <v>511</v>
      </c>
      <c r="F31" s="86" t="s">
        <v>719</v>
      </c>
      <c r="G31" s="75" t="s">
        <v>230</v>
      </c>
      <c r="H31" s="191" t="s">
        <v>240</v>
      </c>
      <c r="I31" s="115" t="s">
        <v>263</v>
      </c>
      <c r="J31" s="62" t="s">
        <v>363</v>
      </c>
      <c r="K31" s="65" t="s">
        <v>199</v>
      </c>
      <c r="L31" s="65">
        <f t="shared" ref="L31:L37" si="1">M31+N31+O31</f>
        <v>60</v>
      </c>
      <c r="M31" s="76" t="s">
        <v>275</v>
      </c>
      <c r="N31" s="65" t="s">
        <v>275</v>
      </c>
      <c r="O31" s="205" t="s">
        <v>275</v>
      </c>
      <c r="P31" s="62" t="s">
        <v>275</v>
      </c>
    </row>
    <row r="32" spans="2:23" ht="63" x14ac:dyDescent="0.25">
      <c r="B32" s="62" t="s">
        <v>63</v>
      </c>
      <c r="C32" s="67" t="s">
        <v>510</v>
      </c>
      <c r="D32" s="67">
        <v>27300364</v>
      </c>
      <c r="E32" s="190" t="s">
        <v>511</v>
      </c>
      <c r="F32" s="86" t="s">
        <v>274</v>
      </c>
      <c r="G32" s="75" t="s">
        <v>230</v>
      </c>
      <c r="H32" s="191" t="s">
        <v>240</v>
      </c>
      <c r="I32" s="115" t="s">
        <v>263</v>
      </c>
      <c r="J32" s="62" t="s">
        <v>363</v>
      </c>
      <c r="K32" s="65" t="s">
        <v>199</v>
      </c>
      <c r="L32" s="65">
        <f t="shared" si="1"/>
        <v>300</v>
      </c>
      <c r="M32" s="76" t="s">
        <v>276</v>
      </c>
      <c r="N32" s="65" t="s">
        <v>276</v>
      </c>
      <c r="O32" s="205" t="s">
        <v>276</v>
      </c>
      <c r="P32" s="62" t="s">
        <v>276</v>
      </c>
    </row>
    <row r="33" spans="2:17" ht="54.75" customHeight="1" x14ac:dyDescent="0.25">
      <c r="B33" s="62" t="s">
        <v>63</v>
      </c>
      <c r="C33" s="67" t="s">
        <v>510</v>
      </c>
      <c r="D33" s="67">
        <v>27300364</v>
      </c>
      <c r="E33" s="190" t="s">
        <v>422</v>
      </c>
      <c r="F33" s="86" t="s">
        <v>684</v>
      </c>
      <c r="G33" s="75" t="s">
        <v>230</v>
      </c>
      <c r="H33" s="191" t="s">
        <v>240</v>
      </c>
      <c r="I33" s="115" t="s">
        <v>263</v>
      </c>
      <c r="J33" s="62" t="s">
        <v>363</v>
      </c>
      <c r="K33" s="65" t="s">
        <v>199</v>
      </c>
      <c r="L33" s="65">
        <f t="shared" si="1"/>
        <v>1395</v>
      </c>
      <c r="M33" s="76" t="s">
        <v>619</v>
      </c>
      <c r="N33" s="65" t="s">
        <v>619</v>
      </c>
      <c r="O33" s="205" t="s">
        <v>619</v>
      </c>
      <c r="P33" s="62" t="s">
        <v>619</v>
      </c>
    </row>
    <row r="34" spans="2:17" ht="57" customHeight="1" x14ac:dyDescent="0.25">
      <c r="B34" s="62" t="s">
        <v>63</v>
      </c>
      <c r="C34" s="67" t="s">
        <v>510</v>
      </c>
      <c r="D34" s="67">
        <v>27300364</v>
      </c>
      <c r="E34" s="190" t="s">
        <v>426</v>
      </c>
      <c r="F34" s="86" t="s">
        <v>561</v>
      </c>
      <c r="G34" s="75" t="s">
        <v>230</v>
      </c>
      <c r="H34" s="191" t="s">
        <v>240</v>
      </c>
      <c r="I34" s="115" t="s">
        <v>263</v>
      </c>
      <c r="J34" s="62" t="s">
        <v>362</v>
      </c>
      <c r="K34" s="65" t="s">
        <v>199</v>
      </c>
      <c r="L34" s="65">
        <f t="shared" si="1"/>
        <v>1194</v>
      </c>
      <c r="M34" s="76" t="s">
        <v>618</v>
      </c>
      <c r="N34" s="65" t="s">
        <v>618</v>
      </c>
      <c r="O34" s="205" t="s">
        <v>618</v>
      </c>
      <c r="P34" s="62" t="s">
        <v>618</v>
      </c>
    </row>
    <row r="35" spans="2:17" ht="52.5" customHeight="1" thickBot="1" x14ac:dyDescent="0.3">
      <c r="B35" s="62" t="s">
        <v>63</v>
      </c>
      <c r="C35" s="67" t="s">
        <v>510</v>
      </c>
      <c r="D35" s="67">
        <v>27300364</v>
      </c>
      <c r="E35" s="190" t="s">
        <v>200</v>
      </c>
      <c r="F35" s="86" t="s">
        <v>683</v>
      </c>
      <c r="G35" s="75" t="s">
        <v>230</v>
      </c>
      <c r="H35" s="191" t="s">
        <v>240</v>
      </c>
      <c r="I35" s="115" t="s">
        <v>263</v>
      </c>
      <c r="J35" s="62" t="s">
        <v>364</v>
      </c>
      <c r="K35" s="65" t="s">
        <v>199</v>
      </c>
      <c r="L35" s="65">
        <f t="shared" si="1"/>
        <v>2916</v>
      </c>
      <c r="M35" s="122" t="s">
        <v>277</v>
      </c>
      <c r="N35" s="83" t="s">
        <v>277</v>
      </c>
      <c r="O35" s="221" t="s">
        <v>277</v>
      </c>
      <c r="P35" s="180" t="s">
        <v>277</v>
      </c>
    </row>
    <row r="36" spans="2:17" ht="53.25" customHeight="1" thickBot="1" x14ac:dyDescent="0.3">
      <c r="B36" s="62" t="s">
        <v>63</v>
      </c>
      <c r="C36" s="111" t="s">
        <v>586</v>
      </c>
      <c r="D36" s="67" t="s">
        <v>116</v>
      </c>
      <c r="E36" s="190" t="s">
        <v>116</v>
      </c>
      <c r="F36" s="69" t="s">
        <v>584</v>
      </c>
      <c r="G36" s="190" t="s">
        <v>116</v>
      </c>
      <c r="H36" s="191" t="s">
        <v>116</v>
      </c>
      <c r="I36" s="193" t="s">
        <v>116</v>
      </c>
      <c r="J36" s="62" t="s">
        <v>116</v>
      </c>
      <c r="K36" s="65" t="s">
        <v>199</v>
      </c>
      <c r="L36" s="68">
        <f t="shared" si="1"/>
        <v>35708.826000000001</v>
      </c>
      <c r="M36" s="222" t="str">
        <f>M37</f>
        <v>9415,882</v>
      </c>
      <c r="N36" s="223" t="str">
        <f>N37</f>
        <v>13006,272</v>
      </c>
      <c r="O36" s="224" t="str">
        <f>O37</f>
        <v>13286,672</v>
      </c>
      <c r="P36" s="223">
        <f>P37</f>
        <v>13581.482</v>
      </c>
    </row>
    <row r="37" spans="2:17" ht="53.25" customHeight="1" x14ac:dyDescent="0.25">
      <c r="B37" s="1050" t="s">
        <v>63</v>
      </c>
      <c r="C37" s="1071" t="s">
        <v>586</v>
      </c>
      <c r="D37" s="1071" t="s">
        <v>285</v>
      </c>
      <c r="E37" s="1052" t="s">
        <v>503</v>
      </c>
      <c r="F37" s="86" t="s">
        <v>286</v>
      </c>
      <c r="G37" s="75" t="s">
        <v>187</v>
      </c>
      <c r="H37" s="191" t="s">
        <v>241</v>
      </c>
      <c r="I37" s="193" t="s">
        <v>574</v>
      </c>
      <c r="J37" s="62" t="s">
        <v>363</v>
      </c>
      <c r="K37" s="65" t="str">
        <f>K36</f>
        <v>-</v>
      </c>
      <c r="L37" s="65">
        <f t="shared" si="1"/>
        <v>35708.826000000001</v>
      </c>
      <c r="M37" s="1149" t="s">
        <v>687</v>
      </c>
      <c r="N37" s="1096" t="s">
        <v>688</v>
      </c>
      <c r="O37" s="1022" t="s">
        <v>689</v>
      </c>
      <c r="P37" s="1053">
        <v>13581.482</v>
      </c>
    </row>
    <row r="38" spans="2:17" ht="54" customHeight="1" thickBot="1" x14ac:dyDescent="0.3">
      <c r="B38" s="1051"/>
      <c r="C38" s="1072"/>
      <c r="D38" s="1072"/>
      <c r="E38" s="1054"/>
      <c r="F38" s="86" t="s">
        <v>287</v>
      </c>
      <c r="G38" s="75" t="s">
        <v>234</v>
      </c>
      <c r="H38" s="191" t="s">
        <v>393</v>
      </c>
      <c r="I38" s="193" t="s">
        <v>270</v>
      </c>
      <c r="J38" s="62" t="s">
        <v>363</v>
      </c>
      <c r="K38" s="65"/>
      <c r="L38" s="65"/>
      <c r="M38" s="1150"/>
      <c r="N38" s="1097"/>
      <c r="O38" s="1051"/>
      <c r="P38" s="1054"/>
      <c r="Q38" s="290">
        <f>N37+N51+N116</f>
        <v>326989.70600000001</v>
      </c>
    </row>
    <row r="39" spans="2:17" ht="50.25" customHeight="1" thickBot="1" x14ac:dyDescent="0.3">
      <c r="B39" s="62" t="s">
        <v>63</v>
      </c>
      <c r="C39" s="67" t="s">
        <v>291</v>
      </c>
      <c r="D39" s="67" t="s">
        <v>116</v>
      </c>
      <c r="E39" s="190" t="s">
        <v>116</v>
      </c>
      <c r="F39" s="69" t="s">
        <v>77</v>
      </c>
      <c r="G39" s="75" t="s">
        <v>559</v>
      </c>
      <c r="H39" s="191" t="s">
        <v>240</v>
      </c>
      <c r="I39" s="193" t="s">
        <v>560</v>
      </c>
      <c r="J39" s="62" t="s">
        <v>363</v>
      </c>
      <c r="K39" s="65" t="s">
        <v>199</v>
      </c>
      <c r="L39" s="65">
        <f>M39+N39+O39</f>
        <v>13058.999</v>
      </c>
      <c r="M39" s="215">
        <f>M40+M41</f>
        <v>3508.9989999999998</v>
      </c>
      <c r="N39" s="233">
        <v>5550</v>
      </c>
      <c r="O39" s="233">
        <v>4000</v>
      </c>
      <c r="P39" s="237">
        <v>0</v>
      </c>
    </row>
    <row r="40" spans="2:17" ht="70.5" customHeight="1" thickBot="1" x14ac:dyDescent="0.3">
      <c r="B40" s="180" t="s">
        <v>63</v>
      </c>
      <c r="C40" s="185" t="s">
        <v>291</v>
      </c>
      <c r="D40" s="185" t="s">
        <v>285</v>
      </c>
      <c r="E40" s="184" t="s">
        <v>503</v>
      </c>
      <c r="F40" s="71" t="s">
        <v>558</v>
      </c>
      <c r="G40" s="95" t="s">
        <v>648</v>
      </c>
      <c r="H40" s="187" t="s">
        <v>240</v>
      </c>
      <c r="I40" s="97" t="s">
        <v>637</v>
      </c>
      <c r="J40" s="180" t="s">
        <v>363</v>
      </c>
      <c r="K40" s="83" t="s">
        <v>199</v>
      </c>
      <c r="L40" s="83">
        <v>1500</v>
      </c>
      <c r="M40" s="208">
        <v>2958.9989999999998</v>
      </c>
      <c r="N40" s="232">
        <v>0</v>
      </c>
      <c r="O40" s="232">
        <v>0</v>
      </c>
      <c r="P40" s="226" t="s">
        <v>695</v>
      </c>
    </row>
    <row r="41" spans="2:17" ht="54" customHeight="1" thickBot="1" x14ac:dyDescent="0.3">
      <c r="B41" s="130" t="s">
        <v>63</v>
      </c>
      <c r="C41" s="131" t="s">
        <v>291</v>
      </c>
      <c r="D41" s="131" t="s">
        <v>285</v>
      </c>
      <c r="E41" s="125" t="s">
        <v>503</v>
      </c>
      <c r="F41" s="230" t="s">
        <v>666</v>
      </c>
      <c r="G41" s="229" t="s">
        <v>667</v>
      </c>
      <c r="H41" s="231" t="s">
        <v>240</v>
      </c>
      <c r="I41" s="135" t="s">
        <v>263</v>
      </c>
      <c r="J41" s="130" t="s">
        <v>363</v>
      </c>
      <c r="K41" s="225"/>
      <c r="L41" s="225"/>
      <c r="M41" s="226" t="s">
        <v>665</v>
      </c>
      <c r="N41" s="232">
        <v>0</v>
      </c>
      <c r="O41" s="232">
        <v>0</v>
      </c>
      <c r="P41" s="226" t="s">
        <v>695</v>
      </c>
    </row>
    <row r="42" spans="2:17" ht="54" customHeight="1" thickBot="1" x14ac:dyDescent="0.3">
      <c r="B42" s="180" t="s">
        <v>63</v>
      </c>
      <c r="C42" s="185" t="s">
        <v>295</v>
      </c>
      <c r="D42" s="185" t="s">
        <v>285</v>
      </c>
      <c r="E42" s="179" t="s">
        <v>503</v>
      </c>
      <c r="F42" s="136" t="s">
        <v>280</v>
      </c>
      <c r="G42" s="190" t="s">
        <v>116</v>
      </c>
      <c r="H42" s="191" t="s">
        <v>116</v>
      </c>
      <c r="I42" s="193" t="s">
        <v>116</v>
      </c>
      <c r="J42" s="62" t="s">
        <v>116</v>
      </c>
      <c r="K42" s="135"/>
      <c r="L42" s="135"/>
      <c r="M42" s="233">
        <f>M43+M44</f>
        <v>2280</v>
      </c>
      <c r="N42" s="233">
        <f>N43+N44</f>
        <v>0</v>
      </c>
      <c r="O42" s="233">
        <f>O43+O44</f>
        <v>0</v>
      </c>
      <c r="P42" s="233">
        <f>P43+P44</f>
        <v>1424.45</v>
      </c>
    </row>
    <row r="43" spans="2:17" ht="54" customHeight="1" thickBot="1" x14ac:dyDescent="0.3">
      <c r="B43" s="130" t="s">
        <v>63</v>
      </c>
      <c r="C43" s="131" t="s">
        <v>295</v>
      </c>
      <c r="D43" s="131" t="s">
        <v>285</v>
      </c>
      <c r="E43" s="125" t="s">
        <v>503</v>
      </c>
      <c r="F43" s="230" t="s">
        <v>690</v>
      </c>
      <c r="G43" s="229" t="s">
        <v>692</v>
      </c>
      <c r="H43" s="231" t="s">
        <v>240</v>
      </c>
      <c r="I43" s="135" t="s">
        <v>263</v>
      </c>
      <c r="J43" s="130" t="s">
        <v>363</v>
      </c>
      <c r="K43" s="135"/>
      <c r="L43" s="135"/>
      <c r="M43" s="226" t="s">
        <v>693</v>
      </c>
      <c r="N43" s="234">
        <v>0</v>
      </c>
      <c r="O43" s="235">
        <v>0</v>
      </c>
      <c r="P43" s="226" t="s">
        <v>695</v>
      </c>
    </row>
    <row r="44" spans="2:17" ht="54" customHeight="1" thickBot="1" x14ac:dyDescent="0.3">
      <c r="B44" s="130" t="s">
        <v>63</v>
      </c>
      <c r="C44" s="131" t="s">
        <v>295</v>
      </c>
      <c r="D44" s="131" t="s">
        <v>285</v>
      </c>
      <c r="E44" s="125" t="s">
        <v>503</v>
      </c>
      <c r="F44" s="230" t="s">
        <v>691</v>
      </c>
      <c r="G44" s="229" t="s">
        <v>190</v>
      </c>
      <c r="H44" s="231" t="s">
        <v>240</v>
      </c>
      <c r="I44" s="135" t="s">
        <v>263</v>
      </c>
      <c r="J44" s="130" t="s">
        <v>363</v>
      </c>
      <c r="K44" s="135"/>
      <c r="L44" s="135"/>
      <c r="M44" s="226" t="s">
        <v>694</v>
      </c>
      <c r="N44" s="234">
        <v>0</v>
      </c>
      <c r="O44" s="235">
        <v>0</v>
      </c>
      <c r="P44" s="226">
        <v>1424.45</v>
      </c>
    </row>
    <row r="45" spans="2:17" ht="67.5" customHeight="1" x14ac:dyDescent="0.25">
      <c r="B45" s="1023" t="s">
        <v>64</v>
      </c>
      <c r="C45" s="1069" t="s">
        <v>116</v>
      </c>
      <c r="D45" s="1073" t="s">
        <v>116</v>
      </c>
      <c r="E45" s="1100" t="s">
        <v>116</v>
      </c>
      <c r="F45" s="1080" t="s">
        <v>175</v>
      </c>
      <c r="G45" s="127" t="s">
        <v>381</v>
      </c>
      <c r="H45" s="188" t="s">
        <v>244</v>
      </c>
      <c r="I45" s="128" t="s">
        <v>227</v>
      </c>
      <c r="J45" s="1023" t="s">
        <v>363</v>
      </c>
      <c r="K45" s="129" t="s">
        <v>199</v>
      </c>
      <c r="L45" s="129"/>
      <c r="M45" s="1147">
        <f>M51+M69+M98</f>
        <v>251853.23851999998</v>
      </c>
      <c r="N45" s="1147">
        <f>N51+N69+N98</f>
        <v>246409.25800000003</v>
      </c>
      <c r="O45" s="1147">
        <f>O51+O69+O98</f>
        <v>152836.41999999998</v>
      </c>
      <c r="P45" s="1147">
        <f>P51+P69+P98</f>
        <v>166731.97</v>
      </c>
    </row>
    <row r="46" spans="2:17" ht="35.25" customHeight="1" x14ac:dyDescent="0.25">
      <c r="B46" s="1023"/>
      <c r="C46" s="1069"/>
      <c r="D46" s="1073"/>
      <c r="E46" s="1100"/>
      <c r="F46" s="1080"/>
      <c r="G46" s="75" t="s">
        <v>187</v>
      </c>
      <c r="H46" s="191" t="s">
        <v>241</v>
      </c>
      <c r="I46" s="87">
        <f>I56+I58+I63+I65</f>
        <v>221</v>
      </c>
      <c r="J46" s="1023"/>
      <c r="K46" s="65"/>
      <c r="L46" s="65"/>
      <c r="M46" s="1147"/>
      <c r="N46" s="1147"/>
      <c r="O46" s="1147"/>
      <c r="P46" s="1147"/>
    </row>
    <row r="47" spans="2:17" ht="39" customHeight="1" x14ac:dyDescent="0.25">
      <c r="B47" s="1023"/>
      <c r="C47" s="1069"/>
      <c r="D47" s="1073"/>
      <c r="E47" s="1100"/>
      <c r="F47" s="1080"/>
      <c r="G47" s="75" t="s">
        <v>232</v>
      </c>
      <c r="H47" s="191" t="s">
        <v>240</v>
      </c>
      <c r="I47" s="87">
        <f>I54+I66</f>
        <v>94</v>
      </c>
      <c r="J47" s="1023"/>
      <c r="K47" s="65"/>
      <c r="L47" s="65"/>
      <c r="M47" s="1147"/>
      <c r="N47" s="1147"/>
      <c r="O47" s="1147"/>
      <c r="P47" s="1147"/>
    </row>
    <row r="48" spans="2:17" ht="37.5" customHeight="1" x14ac:dyDescent="0.25">
      <c r="B48" s="1023"/>
      <c r="C48" s="1069"/>
      <c r="D48" s="1073"/>
      <c r="E48" s="1100"/>
      <c r="F48" s="1080"/>
      <c r="G48" s="75" t="s">
        <v>233</v>
      </c>
      <c r="H48" s="191" t="s">
        <v>241</v>
      </c>
      <c r="I48" s="87">
        <v>2720</v>
      </c>
      <c r="J48" s="1023"/>
      <c r="K48" s="65"/>
      <c r="L48" s="65"/>
      <c r="M48" s="1147"/>
      <c r="N48" s="1147"/>
      <c r="O48" s="1147"/>
      <c r="P48" s="1147"/>
    </row>
    <row r="49" spans="2:18" ht="85.5" customHeight="1" x14ac:dyDescent="0.25">
      <c r="B49" s="1023"/>
      <c r="C49" s="1069"/>
      <c r="D49" s="1073"/>
      <c r="E49" s="1100"/>
      <c r="F49" s="1080"/>
      <c r="G49" s="75" t="s">
        <v>254</v>
      </c>
      <c r="H49" s="191" t="s">
        <v>240</v>
      </c>
      <c r="I49" s="87">
        <v>4</v>
      </c>
      <c r="J49" s="1023"/>
      <c r="K49" s="65"/>
      <c r="L49" s="65"/>
      <c r="M49" s="1147"/>
      <c r="N49" s="1147"/>
      <c r="O49" s="1147"/>
      <c r="P49" s="1147"/>
      <c r="R49" s="51"/>
    </row>
    <row r="50" spans="2:18" ht="84.75" customHeight="1" thickBot="1" x14ac:dyDescent="0.3">
      <c r="B50" s="1023"/>
      <c r="C50" s="1069"/>
      <c r="D50" s="1073"/>
      <c r="E50" s="1100"/>
      <c r="F50" s="1080"/>
      <c r="G50" s="95" t="s">
        <v>527</v>
      </c>
      <c r="H50" s="187" t="s">
        <v>240</v>
      </c>
      <c r="I50" s="249">
        <v>6</v>
      </c>
      <c r="J50" s="1023"/>
      <c r="K50" s="83"/>
      <c r="L50" s="83"/>
      <c r="M50" s="1147"/>
      <c r="N50" s="1147"/>
      <c r="O50" s="1147"/>
      <c r="P50" s="1147"/>
    </row>
    <row r="51" spans="2:18" ht="51" customHeight="1" thickBot="1" x14ac:dyDescent="0.3">
      <c r="B51" s="130" t="s">
        <v>64</v>
      </c>
      <c r="C51" s="250" t="s">
        <v>557</v>
      </c>
      <c r="D51" s="131" t="s">
        <v>116</v>
      </c>
      <c r="E51" s="231" t="s">
        <v>116</v>
      </c>
      <c r="F51" s="132" t="s">
        <v>587</v>
      </c>
      <c r="G51" s="125" t="s">
        <v>116</v>
      </c>
      <c r="H51" s="133" t="s">
        <v>116</v>
      </c>
      <c r="I51" s="134" t="s">
        <v>116</v>
      </c>
      <c r="J51" s="130" t="s">
        <v>363</v>
      </c>
      <c r="K51" s="135" t="s">
        <v>199</v>
      </c>
      <c r="L51" s="135">
        <f>M51+N51+O51</f>
        <v>359358.58600000001</v>
      </c>
      <c r="M51" s="251">
        <v>126129.61599999999</v>
      </c>
      <c r="N51" s="252">
        <v>115202.96</v>
      </c>
      <c r="O51" s="253">
        <v>118026.01</v>
      </c>
      <c r="P51" s="254">
        <v>121156.56</v>
      </c>
      <c r="Q51" s="281">
        <f>N51+N116+N37</f>
        <v>326989.70600000001</v>
      </c>
      <c r="R51" s="149">
        <f>M37+M51+M116</f>
        <v>299711.39301999996</v>
      </c>
    </row>
    <row r="52" spans="2:18" ht="64.5" customHeight="1" x14ac:dyDescent="0.25">
      <c r="B52" s="1023" t="s">
        <v>64</v>
      </c>
      <c r="C52" s="1073" t="s">
        <v>557</v>
      </c>
      <c r="D52" s="1073" t="s">
        <v>379</v>
      </c>
      <c r="E52" s="1053" t="s">
        <v>200</v>
      </c>
      <c r="F52" s="126" t="s">
        <v>612</v>
      </c>
      <c r="G52" s="127" t="s">
        <v>381</v>
      </c>
      <c r="H52" s="186" t="s">
        <v>244</v>
      </c>
      <c r="I52" s="128">
        <v>43875</v>
      </c>
      <c r="J52" s="181" t="s">
        <v>363</v>
      </c>
      <c r="K52" s="129" t="s">
        <v>199</v>
      </c>
      <c r="L52" s="129">
        <f>M52+N52+O52</f>
        <v>89426.379019999993</v>
      </c>
      <c r="M52" s="1151">
        <v>29827.534019999999</v>
      </c>
      <c r="N52" s="1153">
        <v>29799.429</v>
      </c>
      <c r="O52" s="1155">
        <v>29799.416000000001</v>
      </c>
      <c r="P52" s="1157"/>
    </row>
    <row r="53" spans="2:18" ht="39" customHeight="1" x14ac:dyDescent="0.25">
      <c r="B53" s="1023"/>
      <c r="C53" s="1073"/>
      <c r="D53" s="1073"/>
      <c r="E53" s="1053"/>
      <c r="F53" s="70" t="s">
        <v>610</v>
      </c>
      <c r="G53" s="75" t="s">
        <v>461</v>
      </c>
      <c r="H53" s="67" t="s">
        <v>241</v>
      </c>
      <c r="I53" s="193">
        <v>2720</v>
      </c>
      <c r="J53" s="62" t="s">
        <v>363</v>
      </c>
      <c r="K53" s="65" t="s">
        <v>199</v>
      </c>
      <c r="L53" s="65"/>
      <c r="M53" s="1151"/>
      <c r="N53" s="1153"/>
      <c r="O53" s="1155"/>
      <c r="P53" s="1157"/>
    </row>
    <row r="54" spans="2:18" ht="33" customHeight="1" x14ac:dyDescent="0.25">
      <c r="B54" s="1051"/>
      <c r="C54" s="1072"/>
      <c r="D54" s="1072"/>
      <c r="E54" s="1054"/>
      <c r="F54" s="70" t="s">
        <v>611</v>
      </c>
      <c r="G54" s="75" t="s">
        <v>234</v>
      </c>
      <c r="H54" s="67" t="s">
        <v>393</v>
      </c>
      <c r="I54" s="193">
        <v>88</v>
      </c>
      <c r="J54" s="62" t="s">
        <v>363</v>
      </c>
      <c r="K54" s="65" t="s">
        <v>199</v>
      </c>
      <c r="L54" s="65"/>
      <c r="M54" s="1152"/>
      <c r="N54" s="1154"/>
      <c r="O54" s="1156"/>
      <c r="P54" s="1158"/>
    </row>
    <row r="55" spans="2:18" ht="69" customHeight="1" x14ac:dyDescent="0.25">
      <c r="B55" s="1050" t="s">
        <v>64</v>
      </c>
      <c r="C55" s="1071" t="s">
        <v>557</v>
      </c>
      <c r="D55" s="1071">
        <v>27301848</v>
      </c>
      <c r="E55" s="1052" t="s">
        <v>380</v>
      </c>
      <c r="F55" s="70" t="str">
        <f>F52</f>
        <v>Услуги дополнительного образования</v>
      </c>
      <c r="G55" s="75" t="s">
        <v>381</v>
      </c>
      <c r="H55" s="67" t="s">
        <v>244</v>
      </c>
      <c r="I55" s="193">
        <v>150540</v>
      </c>
      <c r="J55" s="62" t="s">
        <v>363</v>
      </c>
      <c r="K55" s="65" t="s">
        <v>199</v>
      </c>
      <c r="L55" s="65">
        <f>M55+N55+O55</f>
        <v>47841.225430000006</v>
      </c>
      <c r="M55" s="1159">
        <v>16573.292430000001</v>
      </c>
      <c r="N55" s="1160">
        <v>15633.950999999999</v>
      </c>
      <c r="O55" s="1161">
        <v>15633.982</v>
      </c>
      <c r="P55" s="1162"/>
      <c r="R55" s="48"/>
    </row>
    <row r="56" spans="2:18" ht="49.5" customHeight="1" x14ac:dyDescent="0.25">
      <c r="B56" s="1051"/>
      <c r="C56" s="1072"/>
      <c r="D56" s="1072"/>
      <c r="E56" s="1054"/>
      <c r="F56" s="70" t="s">
        <v>616</v>
      </c>
      <c r="G56" s="75" t="s">
        <v>187</v>
      </c>
      <c r="H56" s="67" t="s">
        <v>191</v>
      </c>
      <c r="I56" s="193">
        <v>3</v>
      </c>
      <c r="J56" s="62" t="s">
        <v>363</v>
      </c>
      <c r="K56" s="65" t="s">
        <v>199</v>
      </c>
      <c r="L56" s="65"/>
      <c r="M56" s="1152"/>
      <c r="N56" s="1154"/>
      <c r="O56" s="1156"/>
      <c r="P56" s="1163"/>
      <c r="R56" s="48"/>
    </row>
    <row r="57" spans="2:18" ht="63" x14ac:dyDescent="0.25">
      <c r="B57" s="1050" t="s">
        <v>64</v>
      </c>
      <c r="C57" s="1052" t="s">
        <v>557</v>
      </c>
      <c r="D57" s="1071" t="s">
        <v>382</v>
      </c>
      <c r="E57" s="1052" t="s">
        <v>383</v>
      </c>
      <c r="F57" s="70" t="str">
        <f>F52</f>
        <v>Услуги дополнительного образования</v>
      </c>
      <c r="G57" s="75" t="s">
        <v>381</v>
      </c>
      <c r="H57" s="67" t="s">
        <v>244</v>
      </c>
      <c r="I57" s="193" t="s">
        <v>682</v>
      </c>
      <c r="J57" s="62" t="s">
        <v>363</v>
      </c>
      <c r="K57" s="65" t="s">
        <v>199</v>
      </c>
      <c r="L57" s="65">
        <f>M57+N57+O57</f>
        <v>23940.11722</v>
      </c>
      <c r="M57" s="1159">
        <v>7637.5292200000004</v>
      </c>
      <c r="N57" s="1160">
        <v>8151.3490000000002</v>
      </c>
      <c r="O57" s="1161">
        <v>8151.2389999999996</v>
      </c>
      <c r="P57" s="1162"/>
      <c r="R57" s="48"/>
    </row>
    <row r="58" spans="2:18" ht="38.25" customHeight="1" x14ac:dyDescent="0.25">
      <c r="B58" s="1051"/>
      <c r="C58" s="1054"/>
      <c r="D58" s="1072"/>
      <c r="E58" s="1054"/>
      <c r="F58" s="70" t="s">
        <v>286</v>
      </c>
      <c r="G58" s="75" t="s">
        <v>187</v>
      </c>
      <c r="H58" s="67" t="s">
        <v>191</v>
      </c>
      <c r="I58" s="193">
        <v>16</v>
      </c>
      <c r="J58" s="62" t="s">
        <v>363</v>
      </c>
      <c r="K58" s="65" t="s">
        <v>199</v>
      </c>
      <c r="L58" s="65"/>
      <c r="M58" s="1152"/>
      <c r="N58" s="1154"/>
      <c r="O58" s="1156"/>
      <c r="P58" s="1163"/>
      <c r="R58" s="48"/>
    </row>
    <row r="59" spans="2:18" ht="71.25" customHeight="1" x14ac:dyDescent="0.25">
      <c r="B59" s="62" t="s">
        <v>64</v>
      </c>
      <c r="C59" s="67" t="s">
        <v>557</v>
      </c>
      <c r="D59" s="67">
        <v>27301837</v>
      </c>
      <c r="E59" s="190" t="s">
        <v>628</v>
      </c>
      <c r="F59" s="70" t="str">
        <f>F52</f>
        <v>Услуги дополнительного образования</v>
      </c>
      <c r="G59" s="75" t="s">
        <v>381</v>
      </c>
      <c r="H59" s="67" t="s">
        <v>244</v>
      </c>
      <c r="I59" s="193">
        <v>77464</v>
      </c>
      <c r="J59" s="62" t="s">
        <v>363</v>
      </c>
      <c r="K59" s="65" t="s">
        <v>199</v>
      </c>
      <c r="L59" s="65"/>
      <c r="M59" s="77">
        <v>6699.2338200000004</v>
      </c>
      <c r="N59" s="78"/>
      <c r="O59" s="201"/>
      <c r="P59" s="203"/>
    </row>
    <row r="60" spans="2:18" ht="84.75" customHeight="1" x14ac:dyDescent="0.25">
      <c r="B60" s="62" t="s">
        <v>64</v>
      </c>
      <c r="C60" s="67" t="s">
        <v>557</v>
      </c>
      <c r="D60" s="67">
        <v>27302170</v>
      </c>
      <c r="E60" s="190" t="s">
        <v>201</v>
      </c>
      <c r="F60" s="70" t="str">
        <f>F52</f>
        <v>Услуги дополнительного образования</v>
      </c>
      <c r="G60" s="75" t="s">
        <v>381</v>
      </c>
      <c r="H60" s="67" t="s">
        <v>244</v>
      </c>
      <c r="I60" s="193">
        <v>145904</v>
      </c>
      <c r="J60" s="62" t="s">
        <v>363</v>
      </c>
      <c r="K60" s="65" t="s">
        <v>199</v>
      </c>
      <c r="L60" s="65"/>
      <c r="M60" s="77">
        <v>11543.144200000001</v>
      </c>
      <c r="N60" s="78"/>
      <c r="O60" s="201"/>
      <c r="P60" s="203"/>
    </row>
    <row r="61" spans="2:18" ht="63" x14ac:dyDescent="0.25">
      <c r="B61" s="62" t="s">
        <v>64</v>
      </c>
      <c r="C61" s="67" t="s">
        <v>557</v>
      </c>
      <c r="D61" s="67">
        <v>27301830</v>
      </c>
      <c r="E61" s="190" t="s">
        <v>458</v>
      </c>
      <c r="F61" s="70" t="str">
        <f>F52</f>
        <v>Услуги дополнительного образования</v>
      </c>
      <c r="G61" s="75" t="s">
        <v>381</v>
      </c>
      <c r="H61" s="67" t="s">
        <v>244</v>
      </c>
      <c r="I61" s="87">
        <f>211288+5760+147</f>
        <v>217195</v>
      </c>
      <c r="J61" s="88" t="s">
        <v>363</v>
      </c>
      <c r="K61" s="65" t="s">
        <v>199</v>
      </c>
      <c r="L61" s="65"/>
      <c r="M61" s="284">
        <v>12468.069380000001</v>
      </c>
      <c r="N61" s="78"/>
      <c r="O61" s="201"/>
      <c r="P61" s="203"/>
    </row>
    <row r="62" spans="2:18" ht="68.25" customHeight="1" x14ac:dyDescent="0.25">
      <c r="B62" s="1050" t="s">
        <v>64</v>
      </c>
      <c r="C62" s="1052" t="s">
        <v>557</v>
      </c>
      <c r="D62" s="1052">
        <v>27301967</v>
      </c>
      <c r="E62" s="1052" t="s">
        <v>459</v>
      </c>
      <c r="F62" s="70" t="str">
        <f>F52</f>
        <v>Услуги дополнительного образования</v>
      </c>
      <c r="G62" s="75" t="s">
        <v>381</v>
      </c>
      <c r="H62" s="67" t="s">
        <v>244</v>
      </c>
      <c r="I62" s="193" t="s">
        <v>573</v>
      </c>
      <c r="J62" s="1050" t="s">
        <v>363</v>
      </c>
      <c r="K62" s="65" t="s">
        <v>199</v>
      </c>
      <c r="L62" s="65"/>
      <c r="M62" s="1159">
        <v>9641.4071399999993</v>
      </c>
      <c r="N62" s="1164"/>
      <c r="O62" s="1166"/>
      <c r="P62" s="1162"/>
    </row>
    <row r="63" spans="2:18" ht="41.25" customHeight="1" x14ac:dyDescent="0.25">
      <c r="B63" s="1051"/>
      <c r="C63" s="1054"/>
      <c r="D63" s="1054"/>
      <c r="E63" s="1054"/>
      <c r="F63" s="70" t="str">
        <f>F56</f>
        <v xml:space="preserve">Спортивная подготовка </v>
      </c>
      <c r="G63" s="75" t="s">
        <v>187</v>
      </c>
      <c r="H63" s="67" t="s">
        <v>191</v>
      </c>
      <c r="I63" s="193" t="s">
        <v>553</v>
      </c>
      <c r="J63" s="1051"/>
      <c r="K63" s="65"/>
      <c r="L63" s="65"/>
      <c r="M63" s="1152"/>
      <c r="N63" s="1165"/>
      <c r="O63" s="1167"/>
      <c r="P63" s="1163"/>
    </row>
    <row r="64" spans="2:18" ht="71.25" customHeight="1" x14ac:dyDescent="0.25">
      <c r="B64" s="1050" t="s">
        <v>64</v>
      </c>
      <c r="C64" s="1071" t="s">
        <v>557</v>
      </c>
      <c r="D64" s="1071" t="s">
        <v>532</v>
      </c>
      <c r="E64" s="1052" t="s">
        <v>460</v>
      </c>
      <c r="F64" s="70" t="str">
        <f>F52</f>
        <v>Услуги дополнительного образования</v>
      </c>
      <c r="G64" s="75" t="s">
        <v>381</v>
      </c>
      <c r="H64" s="67" t="s">
        <v>244</v>
      </c>
      <c r="I64" s="193">
        <v>57132</v>
      </c>
      <c r="J64" s="1050" t="s">
        <v>462</v>
      </c>
      <c r="K64" s="65" t="s">
        <v>199</v>
      </c>
      <c r="L64" s="65"/>
      <c r="M64" s="1159">
        <v>24252.127710000001</v>
      </c>
      <c r="N64" s="1168"/>
      <c r="O64" s="1171"/>
      <c r="P64" s="1162"/>
    </row>
    <row r="65" spans="2:20" ht="51" customHeight="1" x14ac:dyDescent="0.25">
      <c r="B65" s="1023"/>
      <c r="C65" s="1073"/>
      <c r="D65" s="1073"/>
      <c r="E65" s="1053"/>
      <c r="F65" s="70" t="s">
        <v>286</v>
      </c>
      <c r="G65" s="75" t="s">
        <v>187</v>
      </c>
      <c r="H65" s="67" t="s">
        <v>191</v>
      </c>
      <c r="I65" s="193">
        <v>194</v>
      </c>
      <c r="J65" s="1023"/>
      <c r="K65" s="65" t="s">
        <v>199</v>
      </c>
      <c r="L65" s="65"/>
      <c r="M65" s="1151"/>
      <c r="N65" s="1169"/>
      <c r="O65" s="1172"/>
      <c r="P65" s="1174"/>
    </row>
    <row r="66" spans="2:20" ht="33.75" customHeight="1" x14ac:dyDescent="0.25">
      <c r="B66" s="1051"/>
      <c r="C66" s="1072"/>
      <c r="D66" s="1072"/>
      <c r="E66" s="1054"/>
      <c r="F66" s="70" t="str">
        <f>F54</f>
        <v xml:space="preserve">Спортивные мероприятия </v>
      </c>
      <c r="G66" s="75" t="s">
        <v>234</v>
      </c>
      <c r="H66" s="67" t="s">
        <v>393</v>
      </c>
      <c r="I66" s="193" t="s">
        <v>372</v>
      </c>
      <c r="J66" s="1051"/>
      <c r="K66" s="65" t="s">
        <v>199</v>
      </c>
      <c r="L66" s="65"/>
      <c r="M66" s="1152"/>
      <c r="N66" s="1170"/>
      <c r="O66" s="1173"/>
      <c r="P66" s="1163"/>
    </row>
    <row r="67" spans="2:20" ht="109.5" customHeight="1" thickBot="1" x14ac:dyDescent="0.3">
      <c r="B67" s="180" t="s">
        <v>64</v>
      </c>
      <c r="C67" s="185" t="s">
        <v>557</v>
      </c>
      <c r="D67" s="185">
        <v>27302111</v>
      </c>
      <c r="E67" s="184" t="s">
        <v>463</v>
      </c>
      <c r="F67" s="71" t="str">
        <f>F52</f>
        <v>Услуги дополнительного образования</v>
      </c>
      <c r="G67" s="95" t="s">
        <v>381</v>
      </c>
      <c r="H67" s="185" t="s">
        <v>244</v>
      </c>
      <c r="I67" s="97">
        <v>80592</v>
      </c>
      <c r="J67" s="180" t="s">
        <v>363</v>
      </c>
      <c r="K67" s="83" t="s">
        <v>199</v>
      </c>
      <c r="L67" s="83"/>
      <c r="M67" s="208">
        <v>9422.7210799999993</v>
      </c>
      <c r="N67" s="206"/>
      <c r="O67" s="207"/>
      <c r="P67" s="216"/>
    </row>
    <row r="68" spans="2:20" ht="65.25" customHeight="1" thickBot="1" x14ac:dyDescent="0.3">
      <c r="B68" s="130" t="s">
        <v>64</v>
      </c>
      <c r="C68" s="131" t="s">
        <v>557</v>
      </c>
      <c r="D68" s="131">
        <v>27300364</v>
      </c>
      <c r="E68" s="125" t="s">
        <v>192</v>
      </c>
      <c r="F68" s="150" t="str">
        <f>F67</f>
        <v>Услуги дополнительного образования</v>
      </c>
      <c r="G68" s="151" t="s">
        <v>381</v>
      </c>
      <c r="H68" s="131" t="s">
        <v>244</v>
      </c>
      <c r="I68" s="134" t="s">
        <v>468</v>
      </c>
      <c r="J68" s="130" t="s">
        <v>363</v>
      </c>
      <c r="K68" s="135"/>
      <c r="L68" s="135"/>
      <c r="M68" s="209">
        <f>684.46324+408.35376</f>
        <v>1092.817</v>
      </c>
      <c r="N68" s="246"/>
      <c r="O68" s="247"/>
      <c r="P68" s="227"/>
      <c r="Q68" s="37" t="s">
        <v>696</v>
      </c>
      <c r="R68" s="37" t="s">
        <v>697</v>
      </c>
    </row>
    <row r="69" spans="2:20" ht="53.25" customHeight="1" thickBot="1" x14ac:dyDescent="0.3">
      <c r="B69" s="239" t="s">
        <v>64</v>
      </c>
      <c r="C69" s="240" t="s">
        <v>291</v>
      </c>
      <c r="D69" s="240" t="s">
        <v>116</v>
      </c>
      <c r="E69" s="241" t="s">
        <v>116</v>
      </c>
      <c r="F69" s="242" t="s">
        <v>77</v>
      </c>
      <c r="G69" s="241" t="s">
        <v>116</v>
      </c>
      <c r="H69" s="243" t="s">
        <v>116</v>
      </c>
      <c r="I69" s="244" t="s">
        <v>116</v>
      </c>
      <c r="J69" s="239" t="s">
        <v>363</v>
      </c>
      <c r="K69" s="245" t="s">
        <v>199</v>
      </c>
      <c r="L69" s="245">
        <f>M69+N69+O69</f>
        <v>272503.53151999996</v>
      </c>
      <c r="M69" s="255">
        <v>107976.27352</v>
      </c>
      <c r="N69" s="256">
        <v>129716.848</v>
      </c>
      <c r="O69" s="257">
        <v>34810.410000000003</v>
      </c>
      <c r="P69" s="257">
        <v>45575.41</v>
      </c>
      <c r="Q69" s="276">
        <f>N69+N136+N39</f>
        <v>150535.20699999999</v>
      </c>
      <c r="R69" s="50">
        <f>N98+N157</f>
        <v>1489.45</v>
      </c>
      <c r="T69" s="195">
        <v>38513.550000000003</v>
      </c>
    </row>
    <row r="70" spans="2:20" ht="56.25" customHeight="1" x14ac:dyDescent="0.25">
      <c r="B70" s="181" t="s">
        <v>64</v>
      </c>
      <c r="C70" s="186" t="s">
        <v>291</v>
      </c>
      <c r="D70" s="186" t="s">
        <v>379</v>
      </c>
      <c r="E70" s="183" t="s">
        <v>429</v>
      </c>
      <c r="F70" s="126" t="s">
        <v>623</v>
      </c>
      <c r="G70" s="127" t="s">
        <v>681</v>
      </c>
      <c r="H70" s="188" t="s">
        <v>240</v>
      </c>
      <c r="I70" s="128" t="s">
        <v>565</v>
      </c>
      <c r="J70" s="181" t="s">
        <v>363</v>
      </c>
      <c r="K70" s="129" t="s">
        <v>199</v>
      </c>
      <c r="L70" s="129">
        <f>M70+N70+O70</f>
        <v>2038.54</v>
      </c>
      <c r="M70" s="210">
        <v>2038.54</v>
      </c>
      <c r="N70" s="287">
        <v>0</v>
      </c>
      <c r="O70" s="289">
        <v>0</v>
      </c>
      <c r="P70" s="217"/>
      <c r="Q70" s="282">
        <f>M39+M69+M136</f>
        <v>127306.21421999999</v>
      </c>
      <c r="R70" s="51">
        <f>M42+M99+M157</f>
        <v>24387.478999999999</v>
      </c>
    </row>
    <row r="71" spans="2:20" ht="56.25" customHeight="1" x14ac:dyDescent="0.25">
      <c r="B71" s="181" t="s">
        <v>64</v>
      </c>
      <c r="C71" s="186" t="s">
        <v>291</v>
      </c>
      <c r="D71" s="186" t="s">
        <v>379</v>
      </c>
      <c r="E71" s="183" t="s">
        <v>429</v>
      </c>
      <c r="F71" s="126" t="s">
        <v>632</v>
      </c>
      <c r="G71" s="127" t="s">
        <v>633</v>
      </c>
      <c r="H71" s="188" t="s">
        <v>240</v>
      </c>
      <c r="I71" s="128" t="s">
        <v>374</v>
      </c>
      <c r="J71" s="181" t="s">
        <v>363</v>
      </c>
      <c r="K71" s="129"/>
      <c r="L71" s="129"/>
      <c r="M71" s="210">
        <v>100</v>
      </c>
      <c r="N71" s="79"/>
      <c r="O71" s="200"/>
      <c r="P71" s="203"/>
    </row>
    <row r="72" spans="2:20" ht="57.75" customHeight="1" x14ac:dyDescent="0.25">
      <c r="B72" s="62" t="s">
        <v>64</v>
      </c>
      <c r="C72" s="67" t="s">
        <v>291</v>
      </c>
      <c r="D72" s="67" t="s">
        <v>379</v>
      </c>
      <c r="E72" s="190" t="s">
        <v>429</v>
      </c>
      <c r="F72" s="70" t="s">
        <v>431</v>
      </c>
      <c r="G72" s="75" t="s">
        <v>432</v>
      </c>
      <c r="H72" s="191" t="s">
        <v>240</v>
      </c>
      <c r="I72" s="193">
        <v>1</v>
      </c>
      <c r="J72" s="62" t="s">
        <v>363</v>
      </c>
      <c r="K72" s="65" t="s">
        <v>199</v>
      </c>
      <c r="L72" s="65">
        <f>M72+N72+O72</f>
        <v>15405.21</v>
      </c>
      <c r="M72" s="77">
        <v>15405.21</v>
      </c>
      <c r="N72" s="79">
        <v>0</v>
      </c>
      <c r="O72" s="200">
        <v>0</v>
      </c>
      <c r="P72" s="203"/>
    </row>
    <row r="73" spans="2:20" ht="47.25" x14ac:dyDescent="0.25">
      <c r="B73" s="62" t="s">
        <v>64</v>
      </c>
      <c r="C73" s="67" t="s">
        <v>291</v>
      </c>
      <c r="D73" s="67" t="s">
        <v>379</v>
      </c>
      <c r="E73" s="190" t="s">
        <v>429</v>
      </c>
      <c r="F73" s="70" t="s">
        <v>506</v>
      </c>
      <c r="G73" s="75" t="s">
        <v>433</v>
      </c>
      <c r="H73" s="191" t="s">
        <v>240</v>
      </c>
      <c r="I73" s="193">
        <v>1</v>
      </c>
      <c r="J73" s="62" t="s">
        <v>363</v>
      </c>
      <c r="K73" s="65" t="s">
        <v>199</v>
      </c>
      <c r="L73" s="65">
        <f>M73+N73+O73</f>
        <v>2012.53</v>
      </c>
      <c r="M73" s="77">
        <v>2012.53</v>
      </c>
      <c r="N73" s="79">
        <v>0</v>
      </c>
      <c r="O73" s="200">
        <v>0</v>
      </c>
      <c r="P73" s="203"/>
    </row>
    <row r="74" spans="2:20" ht="47.25" x14ac:dyDescent="0.25">
      <c r="B74" s="62" t="s">
        <v>64</v>
      </c>
      <c r="C74" s="67" t="s">
        <v>291</v>
      </c>
      <c r="D74" s="67" t="s">
        <v>379</v>
      </c>
      <c r="E74" s="190" t="s">
        <v>429</v>
      </c>
      <c r="F74" s="70" t="s">
        <v>624</v>
      </c>
      <c r="G74" s="75" t="s">
        <v>435</v>
      </c>
      <c r="H74" s="191" t="s">
        <v>240</v>
      </c>
      <c r="I74" s="193">
        <v>2</v>
      </c>
      <c r="J74" s="62" t="s">
        <v>363</v>
      </c>
      <c r="K74" s="65" t="s">
        <v>199</v>
      </c>
      <c r="L74" s="65">
        <f>M74+N74+O74</f>
        <v>295</v>
      </c>
      <c r="M74" s="77">
        <v>295</v>
      </c>
      <c r="N74" s="79">
        <v>0</v>
      </c>
      <c r="O74" s="200">
        <v>0</v>
      </c>
      <c r="P74" s="203"/>
    </row>
    <row r="75" spans="2:20" ht="47.25" x14ac:dyDescent="0.25">
      <c r="B75" s="62" t="s">
        <v>64</v>
      </c>
      <c r="C75" s="67" t="s">
        <v>291</v>
      </c>
      <c r="D75" s="67" t="s">
        <v>379</v>
      </c>
      <c r="E75" s="190" t="s">
        <v>429</v>
      </c>
      <c r="F75" s="70" t="s">
        <v>464</v>
      </c>
      <c r="G75" s="75" t="s">
        <v>436</v>
      </c>
      <c r="H75" s="191" t="s">
        <v>240</v>
      </c>
      <c r="I75" s="193">
        <v>10</v>
      </c>
      <c r="J75" s="62" t="s">
        <v>363</v>
      </c>
      <c r="K75" s="65" t="s">
        <v>199</v>
      </c>
      <c r="L75" s="65">
        <f>M75+N75+O75</f>
        <v>598.58000000000004</v>
      </c>
      <c r="M75" s="77">
        <v>598.58000000000004</v>
      </c>
      <c r="N75" s="79">
        <v>0</v>
      </c>
      <c r="O75" s="200">
        <v>0</v>
      </c>
      <c r="P75" s="203"/>
    </row>
    <row r="76" spans="2:20" ht="72.75" customHeight="1" x14ac:dyDescent="0.25">
      <c r="B76" s="62" t="s">
        <v>64</v>
      </c>
      <c r="C76" s="67" t="s">
        <v>291</v>
      </c>
      <c r="D76" s="67" t="s">
        <v>379</v>
      </c>
      <c r="E76" s="190" t="s">
        <v>429</v>
      </c>
      <c r="F76" s="70" t="s">
        <v>521</v>
      </c>
      <c r="G76" s="75" t="s">
        <v>522</v>
      </c>
      <c r="H76" s="191" t="s">
        <v>479</v>
      </c>
      <c r="I76" s="193" t="s">
        <v>523</v>
      </c>
      <c r="J76" s="62" t="s">
        <v>363</v>
      </c>
      <c r="K76" s="65"/>
      <c r="L76" s="65">
        <f>M76+N76+O76</f>
        <v>3202.712</v>
      </c>
      <c r="M76" s="77">
        <v>3202.712</v>
      </c>
      <c r="N76" s="79">
        <v>0</v>
      </c>
      <c r="O76" s="200">
        <v>0</v>
      </c>
      <c r="P76" s="203"/>
    </row>
    <row r="77" spans="2:20" ht="58.5" customHeight="1" x14ac:dyDescent="0.25">
      <c r="B77" s="62" t="s">
        <v>64</v>
      </c>
      <c r="C77" s="67" t="s">
        <v>291</v>
      </c>
      <c r="D77" s="67" t="s">
        <v>379</v>
      </c>
      <c r="E77" s="190" t="s">
        <v>429</v>
      </c>
      <c r="F77" s="70" t="s">
        <v>634</v>
      </c>
      <c r="G77" s="75" t="s">
        <v>435</v>
      </c>
      <c r="H77" s="191" t="s">
        <v>240</v>
      </c>
      <c r="I77" s="193" t="s">
        <v>263</v>
      </c>
      <c r="J77" s="62" t="s">
        <v>363</v>
      </c>
      <c r="K77" s="65"/>
      <c r="L77" s="65"/>
      <c r="M77" s="77">
        <v>3500</v>
      </c>
      <c r="N77" s="79"/>
      <c r="O77" s="200"/>
      <c r="P77" s="203"/>
    </row>
    <row r="78" spans="2:20" ht="90" customHeight="1" x14ac:dyDescent="0.25">
      <c r="B78" s="62" t="s">
        <v>64</v>
      </c>
      <c r="C78" s="67" t="s">
        <v>291</v>
      </c>
      <c r="D78" s="67">
        <v>27301848</v>
      </c>
      <c r="E78" s="190" t="s">
        <v>204</v>
      </c>
      <c r="F78" s="70" t="s">
        <v>437</v>
      </c>
      <c r="G78" s="75" t="s">
        <v>438</v>
      </c>
      <c r="H78" s="191" t="s">
        <v>240</v>
      </c>
      <c r="I78" s="193">
        <v>3</v>
      </c>
      <c r="J78" s="62" t="s">
        <v>363</v>
      </c>
      <c r="K78" s="65" t="s">
        <v>199</v>
      </c>
      <c r="L78" s="65">
        <f>M78+N78+O78</f>
        <v>2567.63</v>
      </c>
      <c r="M78" s="77">
        <v>2567.63</v>
      </c>
      <c r="N78" s="79">
        <v>0</v>
      </c>
      <c r="O78" s="200">
        <v>0</v>
      </c>
      <c r="P78" s="203"/>
    </row>
    <row r="79" spans="2:20" ht="85.5" customHeight="1" x14ac:dyDescent="0.25">
      <c r="B79" s="62" t="s">
        <v>64</v>
      </c>
      <c r="C79" s="67" t="s">
        <v>291</v>
      </c>
      <c r="D79" s="67">
        <v>27301848</v>
      </c>
      <c r="E79" s="190" t="s">
        <v>204</v>
      </c>
      <c r="F79" s="70" t="s">
        <v>562</v>
      </c>
      <c r="G79" s="75" t="s">
        <v>435</v>
      </c>
      <c r="H79" s="191" t="s">
        <v>240</v>
      </c>
      <c r="I79" s="193">
        <v>1</v>
      </c>
      <c r="J79" s="62" t="s">
        <v>363</v>
      </c>
      <c r="K79" s="65" t="s">
        <v>199</v>
      </c>
      <c r="L79" s="65">
        <f>M79+N79+O79</f>
        <v>123.5</v>
      </c>
      <c r="M79" s="77">
        <v>123.5</v>
      </c>
      <c r="N79" s="79">
        <v>0</v>
      </c>
      <c r="O79" s="200">
        <v>0</v>
      </c>
      <c r="P79" s="203"/>
    </row>
    <row r="80" spans="2:20" ht="87" customHeight="1" x14ac:dyDescent="0.25">
      <c r="B80" s="62" t="s">
        <v>64</v>
      </c>
      <c r="C80" s="67" t="s">
        <v>291</v>
      </c>
      <c r="D80" s="67">
        <v>27301848</v>
      </c>
      <c r="E80" s="190" t="s">
        <v>204</v>
      </c>
      <c r="F80" s="70" t="s">
        <v>494</v>
      </c>
      <c r="G80" s="75" t="s">
        <v>480</v>
      </c>
      <c r="H80" s="89" t="s">
        <v>240</v>
      </c>
      <c r="I80" s="193">
        <v>11</v>
      </c>
      <c r="J80" s="62" t="s">
        <v>363</v>
      </c>
      <c r="K80" s="65"/>
      <c r="L80" s="65">
        <f>M80+N80+O80</f>
        <v>149</v>
      </c>
      <c r="M80" s="77">
        <v>149</v>
      </c>
      <c r="N80" s="79">
        <v>0</v>
      </c>
      <c r="O80" s="200">
        <v>0</v>
      </c>
      <c r="P80" s="203"/>
    </row>
    <row r="81" spans="2:21" ht="85.5" customHeight="1" x14ac:dyDescent="0.25">
      <c r="B81" s="62" t="s">
        <v>64</v>
      </c>
      <c r="C81" s="67" t="s">
        <v>291</v>
      </c>
      <c r="D81" s="67">
        <v>27301848</v>
      </c>
      <c r="E81" s="190" t="s">
        <v>204</v>
      </c>
      <c r="F81" s="70" t="s">
        <v>487</v>
      </c>
      <c r="G81" s="75" t="s">
        <v>488</v>
      </c>
      <c r="H81" s="89" t="s">
        <v>240</v>
      </c>
      <c r="I81" s="193">
        <v>2</v>
      </c>
      <c r="J81" s="62" t="s">
        <v>363</v>
      </c>
      <c r="K81" s="65"/>
      <c r="L81" s="65">
        <f>M81+N81+O81</f>
        <v>695.3</v>
      </c>
      <c r="M81" s="77">
        <v>695.3</v>
      </c>
      <c r="N81" s="79">
        <v>0</v>
      </c>
      <c r="O81" s="200">
        <v>0</v>
      </c>
      <c r="P81" s="203"/>
    </row>
    <row r="82" spans="2:21" ht="78.75" x14ac:dyDescent="0.25">
      <c r="B82" s="62" t="s">
        <v>64</v>
      </c>
      <c r="C82" s="67" t="s">
        <v>291</v>
      </c>
      <c r="D82" s="67">
        <v>27301848</v>
      </c>
      <c r="E82" s="190" t="s">
        <v>204</v>
      </c>
      <c r="F82" s="70" t="s">
        <v>495</v>
      </c>
      <c r="G82" s="75" t="s">
        <v>388</v>
      </c>
      <c r="H82" s="191" t="s">
        <v>240</v>
      </c>
      <c r="I82" s="193">
        <v>1</v>
      </c>
      <c r="J82" s="62" t="s">
        <v>363</v>
      </c>
      <c r="K82" s="65"/>
      <c r="L82" s="65"/>
      <c r="M82" s="77">
        <v>2386.3200000000002</v>
      </c>
      <c r="N82" s="79">
        <v>0</v>
      </c>
      <c r="O82" s="200">
        <v>0</v>
      </c>
      <c r="P82" s="203"/>
    </row>
    <row r="83" spans="2:21" ht="78.75" x14ac:dyDescent="0.25">
      <c r="B83" s="62" t="s">
        <v>64</v>
      </c>
      <c r="C83" s="67" t="s">
        <v>291</v>
      </c>
      <c r="D83" s="67">
        <v>27301848</v>
      </c>
      <c r="E83" s="190" t="s">
        <v>204</v>
      </c>
      <c r="F83" s="70" t="s">
        <v>534</v>
      </c>
      <c r="G83" s="75" t="s">
        <v>435</v>
      </c>
      <c r="H83" s="191" t="s">
        <v>240</v>
      </c>
      <c r="I83" s="193" t="s">
        <v>374</v>
      </c>
      <c r="J83" s="62" t="s">
        <v>363</v>
      </c>
      <c r="K83" s="65"/>
      <c r="L83" s="65"/>
      <c r="M83" s="77">
        <v>520</v>
      </c>
      <c r="N83" s="79">
        <v>0</v>
      </c>
      <c r="O83" s="200">
        <v>0</v>
      </c>
      <c r="P83" s="203"/>
    </row>
    <row r="84" spans="2:21" ht="102" customHeight="1" x14ac:dyDescent="0.25">
      <c r="B84" s="62" t="s">
        <v>64</v>
      </c>
      <c r="C84" s="67" t="s">
        <v>291</v>
      </c>
      <c r="D84" s="67">
        <v>27302170</v>
      </c>
      <c r="E84" s="190" t="s">
        <v>575</v>
      </c>
      <c r="F84" s="70" t="s">
        <v>524</v>
      </c>
      <c r="G84" s="75" t="s">
        <v>440</v>
      </c>
      <c r="H84" s="191" t="s">
        <v>240</v>
      </c>
      <c r="I84" s="193">
        <v>8</v>
      </c>
      <c r="J84" s="62" t="s">
        <v>363</v>
      </c>
      <c r="K84" s="65" t="s">
        <v>199</v>
      </c>
      <c r="L84" s="65">
        <f>M84+N84+O84</f>
        <v>1000</v>
      </c>
      <c r="M84" s="77">
        <v>1000</v>
      </c>
      <c r="N84" s="79">
        <v>0</v>
      </c>
      <c r="O84" s="200">
        <v>0</v>
      </c>
      <c r="P84" s="203"/>
    </row>
    <row r="85" spans="2:21" ht="102" customHeight="1" x14ac:dyDescent="0.25">
      <c r="B85" s="62" t="s">
        <v>64</v>
      </c>
      <c r="C85" s="67" t="s">
        <v>291</v>
      </c>
      <c r="D85" s="67">
        <v>27302170</v>
      </c>
      <c r="E85" s="190" t="s">
        <v>575</v>
      </c>
      <c r="F85" s="70" t="s">
        <v>564</v>
      </c>
      <c r="G85" s="75" t="s">
        <v>563</v>
      </c>
      <c r="H85" s="191" t="s">
        <v>240</v>
      </c>
      <c r="I85" s="193" t="s">
        <v>565</v>
      </c>
      <c r="J85" s="62" t="s">
        <v>363</v>
      </c>
      <c r="K85" s="65"/>
      <c r="L85" s="65"/>
      <c r="M85" s="77">
        <v>334.25900000000001</v>
      </c>
      <c r="N85" s="66">
        <v>0</v>
      </c>
      <c r="O85" s="199">
        <v>0</v>
      </c>
      <c r="P85" s="203"/>
    </row>
    <row r="86" spans="2:21" ht="94.5" x14ac:dyDescent="0.25">
      <c r="B86" s="62" t="s">
        <v>64</v>
      </c>
      <c r="C86" s="67" t="s">
        <v>291</v>
      </c>
      <c r="D86" s="67">
        <v>27302111</v>
      </c>
      <c r="E86" s="190" t="s">
        <v>504</v>
      </c>
      <c r="F86" s="70" t="s">
        <v>477</v>
      </c>
      <c r="G86" s="75" t="s">
        <v>478</v>
      </c>
      <c r="H86" s="191" t="s">
        <v>240</v>
      </c>
      <c r="I86" s="193">
        <v>2</v>
      </c>
      <c r="J86" s="62" t="s">
        <v>363</v>
      </c>
      <c r="K86" s="65"/>
      <c r="L86" s="65">
        <f>M86+N86+O86</f>
        <v>170.82</v>
      </c>
      <c r="M86" s="77">
        <v>170.82</v>
      </c>
      <c r="N86" s="79">
        <v>0</v>
      </c>
      <c r="O86" s="200">
        <v>0</v>
      </c>
      <c r="P86" s="203"/>
    </row>
    <row r="87" spans="2:21" ht="96.75" customHeight="1" x14ac:dyDescent="0.25">
      <c r="B87" s="62" t="s">
        <v>64</v>
      </c>
      <c r="C87" s="67" t="s">
        <v>291</v>
      </c>
      <c r="D87" s="67">
        <v>27302111</v>
      </c>
      <c r="E87" s="190" t="s">
        <v>504</v>
      </c>
      <c r="F87" s="70" t="s">
        <v>430</v>
      </c>
      <c r="G87" s="75" t="s">
        <v>571</v>
      </c>
      <c r="H87" s="191" t="s">
        <v>569</v>
      </c>
      <c r="I87" s="193" t="s">
        <v>570</v>
      </c>
      <c r="J87" s="62" t="s">
        <v>363</v>
      </c>
      <c r="K87" s="65"/>
      <c r="L87" s="65"/>
      <c r="M87" s="77">
        <f>1878.8-476.6344</f>
        <v>1402.1655999999998</v>
      </c>
      <c r="N87" s="66">
        <v>0</v>
      </c>
      <c r="O87" s="199">
        <v>0</v>
      </c>
      <c r="P87" s="203"/>
      <c r="T87" s="37" t="s">
        <v>679</v>
      </c>
      <c r="U87" s="37">
        <v>1878.8</v>
      </c>
    </row>
    <row r="88" spans="2:21" ht="96.75" customHeight="1" x14ac:dyDescent="0.25">
      <c r="B88" s="62" t="s">
        <v>64</v>
      </c>
      <c r="C88" s="67" t="s">
        <v>291</v>
      </c>
      <c r="D88" s="67">
        <v>27302111</v>
      </c>
      <c r="E88" s="190" t="s">
        <v>504</v>
      </c>
      <c r="F88" s="70" t="s">
        <v>636</v>
      </c>
      <c r="G88" s="75" t="s">
        <v>680</v>
      </c>
      <c r="H88" s="191" t="s">
        <v>240</v>
      </c>
      <c r="I88" s="193" t="s">
        <v>545</v>
      </c>
      <c r="J88" s="62" t="s">
        <v>363</v>
      </c>
      <c r="K88" s="65"/>
      <c r="L88" s="65"/>
      <c r="M88" s="76" t="s">
        <v>638</v>
      </c>
      <c r="N88" s="66"/>
      <c r="O88" s="199"/>
      <c r="P88" s="203"/>
    </row>
    <row r="89" spans="2:21" ht="15.75" customHeight="1" x14ac:dyDescent="0.25">
      <c r="B89" s="62" t="s">
        <v>64</v>
      </c>
      <c r="C89" s="67" t="s">
        <v>291</v>
      </c>
      <c r="D89" s="67">
        <v>27300364</v>
      </c>
      <c r="E89" s="190" t="s">
        <v>192</v>
      </c>
      <c r="F89" s="70" t="s">
        <v>635</v>
      </c>
      <c r="G89" s="75" t="s">
        <v>190</v>
      </c>
      <c r="H89" s="191" t="s">
        <v>240</v>
      </c>
      <c r="I89" s="193" t="s">
        <v>468</v>
      </c>
      <c r="J89" s="62" t="s">
        <v>363</v>
      </c>
      <c r="K89" s="65"/>
      <c r="L89" s="65"/>
      <c r="M89" s="77">
        <f>1117.3+304.681</f>
        <v>1421.981</v>
      </c>
      <c r="N89" s="66"/>
      <c r="O89" s="199"/>
      <c r="P89" s="203"/>
    </row>
    <row r="90" spans="2:21" ht="15.75" hidden="1" customHeight="1" x14ac:dyDescent="0.25">
      <c r="B90" s="62"/>
      <c r="C90" s="67"/>
      <c r="D90" s="67"/>
      <c r="E90" s="190"/>
      <c r="F90" s="70"/>
      <c r="G90" s="75"/>
      <c r="H90" s="191"/>
      <c r="I90" s="193"/>
      <c r="J90" s="62"/>
      <c r="K90" s="65"/>
      <c r="L90" s="65"/>
      <c r="M90" s="76"/>
      <c r="N90" s="66"/>
      <c r="O90" s="199"/>
      <c r="P90" s="203"/>
    </row>
    <row r="91" spans="2:21" ht="15.75" hidden="1" customHeight="1" x14ac:dyDescent="0.25">
      <c r="B91" s="62"/>
      <c r="C91" s="67"/>
      <c r="D91" s="67"/>
      <c r="E91" s="190"/>
      <c r="F91" s="70"/>
      <c r="G91" s="75"/>
      <c r="H91" s="191"/>
      <c r="I91" s="193"/>
      <c r="J91" s="62"/>
      <c r="K91" s="65"/>
      <c r="L91" s="65"/>
      <c r="M91" s="76"/>
      <c r="N91" s="66"/>
      <c r="O91" s="199"/>
      <c r="P91" s="203"/>
    </row>
    <row r="92" spans="2:21" ht="15.75" hidden="1" customHeight="1" x14ac:dyDescent="0.25">
      <c r="B92" s="62"/>
      <c r="C92" s="67"/>
      <c r="D92" s="67"/>
      <c r="E92" s="190"/>
      <c r="F92" s="70"/>
      <c r="G92" s="75"/>
      <c r="H92" s="191"/>
      <c r="I92" s="193"/>
      <c r="J92" s="62"/>
      <c r="K92" s="65"/>
      <c r="L92" s="65"/>
      <c r="M92" s="76"/>
      <c r="N92" s="66"/>
      <c r="O92" s="199"/>
      <c r="P92" s="203"/>
    </row>
    <row r="93" spans="2:21" ht="15.75" hidden="1" customHeight="1" x14ac:dyDescent="0.25">
      <c r="B93" s="62"/>
      <c r="C93" s="67"/>
      <c r="D93" s="67"/>
      <c r="E93" s="190"/>
      <c r="F93" s="70"/>
      <c r="G93" s="75"/>
      <c r="H93" s="191"/>
      <c r="I93" s="193"/>
      <c r="J93" s="62"/>
      <c r="K93" s="65"/>
      <c r="L93" s="65"/>
      <c r="M93" s="76"/>
      <c r="N93" s="66"/>
      <c r="O93" s="199"/>
      <c r="P93" s="203"/>
    </row>
    <row r="94" spans="2:21" ht="78.75" hidden="1" customHeight="1" x14ac:dyDescent="0.25">
      <c r="B94" s="62" t="s">
        <v>64</v>
      </c>
      <c r="C94" s="67"/>
      <c r="D94" s="67"/>
      <c r="E94" s="190" t="s">
        <v>439</v>
      </c>
      <c r="F94" s="70" t="s">
        <v>441</v>
      </c>
      <c r="G94" s="75" t="s">
        <v>444</v>
      </c>
      <c r="H94" s="191" t="s">
        <v>240</v>
      </c>
      <c r="I94" s="193">
        <v>3</v>
      </c>
      <c r="J94" s="62" t="s">
        <v>235</v>
      </c>
      <c r="K94" s="65" t="s">
        <v>199</v>
      </c>
      <c r="L94" s="65">
        <f t="shared" ref="L94:L99" si="2">M94+N94+O94</f>
        <v>5000</v>
      </c>
      <c r="M94" s="76">
        <v>0</v>
      </c>
      <c r="N94" s="66">
        <v>5000</v>
      </c>
      <c r="O94" s="199">
        <v>0</v>
      </c>
      <c r="P94" s="203"/>
    </row>
    <row r="95" spans="2:21" ht="94.5" hidden="1" customHeight="1" x14ac:dyDescent="0.25">
      <c r="B95" s="62" t="s">
        <v>64</v>
      </c>
      <c r="C95" s="67"/>
      <c r="D95" s="67"/>
      <c r="E95" s="190" t="s">
        <v>443</v>
      </c>
      <c r="F95" s="70" t="s">
        <v>442</v>
      </c>
      <c r="G95" s="75" t="s">
        <v>444</v>
      </c>
      <c r="H95" s="191" t="s">
        <v>240</v>
      </c>
      <c r="I95" s="193">
        <v>1</v>
      </c>
      <c r="J95" s="62" t="s">
        <v>235</v>
      </c>
      <c r="K95" s="65" t="s">
        <v>199</v>
      </c>
      <c r="L95" s="65">
        <f t="shared" si="2"/>
        <v>27090.41</v>
      </c>
      <c r="M95" s="76">
        <v>0</v>
      </c>
      <c r="N95" s="66">
        <v>27090.41</v>
      </c>
      <c r="O95" s="199">
        <v>0</v>
      </c>
      <c r="P95" s="203"/>
    </row>
    <row r="96" spans="2:21" ht="47.25" hidden="1" customHeight="1" x14ac:dyDescent="0.25">
      <c r="B96" s="62" t="s">
        <v>64</v>
      </c>
      <c r="C96" s="67"/>
      <c r="D96" s="67"/>
      <c r="E96" s="190"/>
      <c r="F96" s="70" t="s">
        <v>278</v>
      </c>
      <c r="G96" s="75"/>
      <c r="H96" s="191" t="s">
        <v>240</v>
      </c>
      <c r="I96" s="193">
        <v>1</v>
      </c>
      <c r="J96" s="62" t="s">
        <v>238</v>
      </c>
      <c r="K96" s="65" t="s">
        <v>199</v>
      </c>
      <c r="L96" s="65">
        <f t="shared" si="2"/>
        <v>600</v>
      </c>
      <c r="M96" s="76">
        <v>0</v>
      </c>
      <c r="N96" s="66">
        <v>600</v>
      </c>
      <c r="O96" s="199">
        <v>0</v>
      </c>
      <c r="P96" s="203"/>
    </row>
    <row r="97" spans="2:17" ht="63" hidden="1" customHeight="1" x14ac:dyDescent="0.25">
      <c r="B97" s="62" t="s">
        <v>64</v>
      </c>
      <c r="C97" s="67"/>
      <c r="D97" s="67"/>
      <c r="E97" s="190"/>
      <c r="F97" s="70" t="s">
        <v>279</v>
      </c>
      <c r="G97" s="75"/>
      <c r="H97" s="191" t="s">
        <v>240</v>
      </c>
      <c r="I97" s="193">
        <v>1</v>
      </c>
      <c r="J97" s="62" t="s">
        <v>235</v>
      </c>
      <c r="K97" s="65" t="s">
        <v>199</v>
      </c>
      <c r="L97" s="65">
        <f t="shared" si="2"/>
        <v>27690.41</v>
      </c>
      <c r="M97" s="76">
        <v>0</v>
      </c>
      <c r="N97" s="66">
        <v>0</v>
      </c>
      <c r="O97" s="199">
        <v>27690.41</v>
      </c>
      <c r="P97" s="203"/>
    </row>
    <row r="98" spans="2:17" ht="33.75" customHeight="1" x14ac:dyDescent="0.25">
      <c r="B98" s="62" t="s">
        <v>64</v>
      </c>
      <c r="C98" s="67" t="s">
        <v>295</v>
      </c>
      <c r="D98" s="67" t="s">
        <v>116</v>
      </c>
      <c r="E98" s="190" t="s">
        <v>116</v>
      </c>
      <c r="F98" s="69" t="s">
        <v>280</v>
      </c>
      <c r="G98" s="190" t="s">
        <v>116</v>
      </c>
      <c r="H98" s="191" t="s">
        <v>116</v>
      </c>
      <c r="I98" s="193" t="s">
        <v>116</v>
      </c>
      <c r="J98" s="62" t="s">
        <v>116</v>
      </c>
      <c r="K98" s="65" t="s">
        <v>199</v>
      </c>
      <c r="L98" s="65">
        <f t="shared" si="2"/>
        <v>19236.798999999999</v>
      </c>
      <c r="M98" s="215">
        <v>17747.348999999998</v>
      </c>
      <c r="N98" s="248">
        <v>1489.45</v>
      </c>
      <c r="O98" s="258">
        <v>0</v>
      </c>
      <c r="P98" s="258">
        <v>0</v>
      </c>
      <c r="Q98" s="50">
        <f>N98</f>
        <v>1489.45</v>
      </c>
    </row>
    <row r="99" spans="2:17" ht="66.75" customHeight="1" x14ac:dyDescent="0.25">
      <c r="B99" s="62" t="s">
        <v>64</v>
      </c>
      <c r="C99" s="67" t="s">
        <v>295</v>
      </c>
      <c r="D99" s="67">
        <v>27301967</v>
      </c>
      <c r="E99" s="190" t="s">
        <v>202</v>
      </c>
      <c r="F99" s="70" t="s">
        <v>445</v>
      </c>
      <c r="G99" s="75" t="s">
        <v>428</v>
      </c>
      <c r="H99" s="191" t="s">
        <v>240</v>
      </c>
      <c r="I99" s="193">
        <v>7</v>
      </c>
      <c r="J99" s="62" t="s">
        <v>364</v>
      </c>
      <c r="K99" s="65" t="s">
        <v>199</v>
      </c>
      <c r="L99" s="65">
        <f t="shared" si="2"/>
        <v>510.5</v>
      </c>
      <c r="M99" s="211">
        <v>510.5</v>
      </c>
      <c r="N99" s="66">
        <v>0</v>
      </c>
      <c r="O99" s="199">
        <v>0</v>
      </c>
      <c r="P99" s="203"/>
    </row>
    <row r="100" spans="2:17" ht="66.75" customHeight="1" x14ac:dyDescent="0.25">
      <c r="B100" s="62" t="s">
        <v>64</v>
      </c>
      <c r="C100" s="67" t="s">
        <v>295</v>
      </c>
      <c r="D100" s="67">
        <v>27301967</v>
      </c>
      <c r="E100" s="190" t="s">
        <v>202</v>
      </c>
      <c r="F100" s="70" t="s">
        <v>639</v>
      </c>
      <c r="G100" s="75" t="s">
        <v>640</v>
      </c>
      <c r="H100" s="191" t="s">
        <v>240</v>
      </c>
      <c r="I100" s="193" t="s">
        <v>263</v>
      </c>
      <c r="J100" s="62" t="s">
        <v>363</v>
      </c>
      <c r="K100" s="65"/>
      <c r="L100" s="65"/>
      <c r="M100" s="211">
        <v>49.8</v>
      </c>
      <c r="N100" s="66"/>
      <c r="O100" s="199"/>
      <c r="P100" s="203"/>
    </row>
    <row r="101" spans="2:17" ht="98.25" customHeight="1" x14ac:dyDescent="0.25">
      <c r="B101" s="62" t="s">
        <v>64</v>
      </c>
      <c r="C101" s="67" t="s">
        <v>295</v>
      </c>
      <c r="D101" s="67">
        <v>27302111</v>
      </c>
      <c r="E101" s="190" t="s">
        <v>203</v>
      </c>
      <c r="F101" s="70" t="s">
        <v>446</v>
      </c>
      <c r="G101" s="75" t="s">
        <v>447</v>
      </c>
      <c r="H101" s="191" t="s">
        <v>240</v>
      </c>
      <c r="I101" s="193">
        <v>12</v>
      </c>
      <c r="J101" s="62" t="s">
        <v>364</v>
      </c>
      <c r="K101" s="65" t="s">
        <v>199</v>
      </c>
      <c r="L101" s="65">
        <f>M101+N101+O101</f>
        <v>1163.95</v>
      </c>
      <c r="M101" s="211">
        <v>1163.95</v>
      </c>
      <c r="N101" s="66">
        <v>0</v>
      </c>
      <c r="O101" s="199">
        <v>0</v>
      </c>
      <c r="P101" s="203"/>
    </row>
    <row r="102" spans="2:17" ht="98.25" customHeight="1" x14ac:dyDescent="0.25">
      <c r="B102" s="62" t="s">
        <v>64</v>
      </c>
      <c r="C102" s="67" t="s">
        <v>295</v>
      </c>
      <c r="D102" s="67">
        <v>27302111</v>
      </c>
      <c r="E102" s="190" t="s">
        <v>203</v>
      </c>
      <c r="F102" s="70" t="s">
        <v>554</v>
      </c>
      <c r="G102" s="75" t="s">
        <v>555</v>
      </c>
      <c r="H102" s="191" t="s">
        <v>240</v>
      </c>
      <c r="I102" s="193" t="s">
        <v>374</v>
      </c>
      <c r="J102" s="62" t="s">
        <v>363</v>
      </c>
      <c r="K102" s="65"/>
      <c r="L102" s="65"/>
      <c r="M102" s="211">
        <v>42</v>
      </c>
      <c r="N102" s="79">
        <v>0</v>
      </c>
      <c r="O102" s="200">
        <v>0</v>
      </c>
      <c r="P102" s="203"/>
    </row>
    <row r="103" spans="2:17" ht="85.5" customHeight="1" x14ac:dyDescent="0.25">
      <c r="B103" s="62" t="s">
        <v>64</v>
      </c>
      <c r="C103" s="67" t="s">
        <v>295</v>
      </c>
      <c r="D103" s="67">
        <v>27301848</v>
      </c>
      <c r="E103" s="190" t="s">
        <v>204</v>
      </c>
      <c r="F103" s="70" t="s">
        <v>481</v>
      </c>
      <c r="G103" s="75" t="s">
        <v>482</v>
      </c>
      <c r="H103" s="191" t="s">
        <v>240</v>
      </c>
      <c r="I103" s="193">
        <v>1</v>
      </c>
      <c r="J103" s="62" t="s">
        <v>364</v>
      </c>
      <c r="K103" s="65"/>
      <c r="L103" s="65"/>
      <c r="M103" s="211">
        <v>73.5</v>
      </c>
      <c r="N103" s="66">
        <v>0</v>
      </c>
      <c r="O103" s="199">
        <v>0</v>
      </c>
      <c r="P103" s="203"/>
    </row>
    <row r="104" spans="2:17" ht="58.5" customHeight="1" x14ac:dyDescent="0.25">
      <c r="B104" s="62" t="s">
        <v>64</v>
      </c>
      <c r="C104" s="67" t="s">
        <v>295</v>
      </c>
      <c r="D104" s="67" t="s">
        <v>382</v>
      </c>
      <c r="E104" s="190" t="s">
        <v>383</v>
      </c>
      <c r="F104" s="70" t="s">
        <v>535</v>
      </c>
      <c r="G104" s="75" t="s">
        <v>536</v>
      </c>
      <c r="H104" s="191" t="s">
        <v>240</v>
      </c>
      <c r="I104" s="193">
        <v>1</v>
      </c>
      <c r="J104" s="62" t="s">
        <v>363</v>
      </c>
      <c r="K104" s="65"/>
      <c r="L104" s="65"/>
      <c r="M104" s="211">
        <v>85</v>
      </c>
      <c r="N104" s="66">
        <v>0</v>
      </c>
      <c r="O104" s="199">
        <v>0</v>
      </c>
      <c r="P104" s="203"/>
    </row>
    <row r="105" spans="2:17" ht="58.5" customHeight="1" x14ac:dyDescent="0.25">
      <c r="B105" s="62" t="s">
        <v>64</v>
      </c>
      <c r="C105" s="67" t="s">
        <v>295</v>
      </c>
      <c r="D105" s="67">
        <v>27301837</v>
      </c>
      <c r="E105" s="190" t="s">
        <v>629</v>
      </c>
      <c r="F105" s="70" t="s">
        <v>543</v>
      </c>
      <c r="G105" s="75" t="s">
        <v>544</v>
      </c>
      <c r="H105" s="191" t="s">
        <v>240</v>
      </c>
      <c r="I105" s="193" t="s">
        <v>545</v>
      </c>
      <c r="J105" s="62" t="s">
        <v>363</v>
      </c>
      <c r="K105" s="65"/>
      <c r="L105" s="65"/>
      <c r="M105" s="211">
        <v>65.441000000000003</v>
      </c>
      <c r="N105" s="79">
        <v>0</v>
      </c>
      <c r="O105" s="200">
        <v>0</v>
      </c>
      <c r="P105" s="203"/>
    </row>
    <row r="106" spans="2:17" ht="58.5" customHeight="1" thickBot="1" x14ac:dyDescent="0.3">
      <c r="B106" s="62" t="s">
        <v>64</v>
      </c>
      <c r="C106" s="67" t="s">
        <v>295</v>
      </c>
      <c r="D106" s="67" t="s">
        <v>532</v>
      </c>
      <c r="E106" s="190" t="s">
        <v>460</v>
      </c>
      <c r="F106" s="70" t="s">
        <v>483</v>
      </c>
      <c r="G106" s="75" t="s">
        <v>484</v>
      </c>
      <c r="H106" s="191" t="s">
        <v>240</v>
      </c>
      <c r="I106" s="193" t="s">
        <v>553</v>
      </c>
      <c r="J106" s="62" t="s">
        <v>364</v>
      </c>
      <c r="K106" s="65"/>
      <c r="L106" s="65"/>
      <c r="M106" s="211">
        <v>74.763000000000005</v>
      </c>
      <c r="N106" s="79">
        <v>0</v>
      </c>
      <c r="O106" s="200">
        <v>0</v>
      </c>
      <c r="P106" s="203"/>
    </row>
    <row r="107" spans="2:17" ht="108.75" hidden="1" customHeight="1" thickBot="1" x14ac:dyDescent="0.3">
      <c r="B107" s="62"/>
      <c r="C107" s="67"/>
      <c r="D107" s="67"/>
      <c r="E107" s="190"/>
      <c r="F107" s="70"/>
      <c r="G107" s="75"/>
      <c r="H107" s="191"/>
      <c r="I107" s="193"/>
      <c r="J107" s="62"/>
      <c r="K107" s="65"/>
      <c r="L107" s="65"/>
      <c r="M107" s="77"/>
      <c r="N107" s="79"/>
      <c r="O107" s="200"/>
      <c r="P107" s="203"/>
    </row>
    <row r="108" spans="2:17" ht="47.25" hidden="1" customHeight="1" x14ac:dyDescent="0.25">
      <c r="B108" s="62" t="s">
        <v>64</v>
      </c>
      <c r="C108" s="67"/>
      <c r="D108" s="67"/>
      <c r="E108" s="190"/>
      <c r="F108" s="70" t="s">
        <v>281</v>
      </c>
      <c r="G108" s="75" t="s">
        <v>428</v>
      </c>
      <c r="H108" s="191" t="s">
        <v>240</v>
      </c>
      <c r="I108" s="193">
        <v>1</v>
      </c>
      <c r="J108" s="62" t="s">
        <v>364</v>
      </c>
      <c r="K108" s="65" t="s">
        <v>199</v>
      </c>
      <c r="L108" s="65">
        <f>M108+N108+O108</f>
        <v>39.9</v>
      </c>
      <c r="M108" s="77">
        <v>0</v>
      </c>
      <c r="N108" s="79">
        <v>39.9</v>
      </c>
      <c r="O108" s="200">
        <v>0</v>
      </c>
      <c r="P108" s="203"/>
    </row>
    <row r="109" spans="2:17" ht="125.25" hidden="1" customHeight="1" x14ac:dyDescent="0.25">
      <c r="B109" s="62" t="s">
        <v>64</v>
      </c>
      <c r="C109" s="67"/>
      <c r="D109" s="67"/>
      <c r="E109" s="190"/>
      <c r="F109" s="70" t="s">
        <v>282</v>
      </c>
      <c r="G109" s="75" t="s">
        <v>428</v>
      </c>
      <c r="H109" s="191" t="s">
        <v>240</v>
      </c>
      <c r="I109" s="193">
        <v>1</v>
      </c>
      <c r="J109" s="62" t="s">
        <v>364</v>
      </c>
      <c r="K109" s="65" t="s">
        <v>199</v>
      </c>
      <c r="L109" s="65">
        <f>M109+N109+O109</f>
        <v>605.98</v>
      </c>
      <c r="M109" s="77">
        <v>0</v>
      </c>
      <c r="N109" s="79">
        <v>605.98</v>
      </c>
      <c r="O109" s="200">
        <v>0</v>
      </c>
      <c r="P109" s="203"/>
    </row>
    <row r="110" spans="2:17" ht="122.25" hidden="1" customHeight="1" thickBot="1" x14ac:dyDescent="0.3">
      <c r="B110" s="180" t="s">
        <v>64</v>
      </c>
      <c r="C110" s="185"/>
      <c r="D110" s="185"/>
      <c r="E110" s="184"/>
      <c r="F110" s="71" t="s">
        <v>283</v>
      </c>
      <c r="G110" s="75" t="s">
        <v>255</v>
      </c>
      <c r="H110" s="191" t="s">
        <v>240</v>
      </c>
      <c r="I110" s="193">
        <v>1</v>
      </c>
      <c r="J110" s="62" t="s">
        <v>364</v>
      </c>
      <c r="K110" s="65" t="s">
        <v>199</v>
      </c>
      <c r="L110" s="65">
        <f>M110+N110+O110</f>
        <v>1028.57</v>
      </c>
      <c r="M110" s="77">
        <v>0</v>
      </c>
      <c r="N110" s="79">
        <v>1028.57</v>
      </c>
      <c r="O110" s="200">
        <v>0</v>
      </c>
      <c r="P110" s="203"/>
    </row>
    <row r="111" spans="2:17" ht="70.5" customHeight="1" x14ac:dyDescent="0.25">
      <c r="B111" s="1012" t="s">
        <v>172</v>
      </c>
      <c r="C111" s="1124" t="s">
        <v>116</v>
      </c>
      <c r="D111" s="1034" t="s">
        <v>116</v>
      </c>
      <c r="E111" s="1121" t="s">
        <v>116</v>
      </c>
      <c r="F111" s="1179" t="s">
        <v>176</v>
      </c>
      <c r="G111" s="75" t="s">
        <v>381</v>
      </c>
      <c r="H111" s="67" t="s">
        <v>243</v>
      </c>
      <c r="I111" s="193">
        <v>62400</v>
      </c>
      <c r="J111" s="1050" t="s">
        <v>363</v>
      </c>
      <c r="K111" s="65" t="s">
        <v>199</v>
      </c>
      <c r="L111" s="65"/>
      <c r="M111" s="1175">
        <f>M116+M131+M134+M136+M157</f>
        <v>214893.18342999998</v>
      </c>
      <c r="N111" s="1175">
        <f>N116+N131+N134+N136+N157</f>
        <v>214048.83299999998</v>
      </c>
      <c r="O111" s="1175">
        <f>O116+O131+O134+O136+O157</f>
        <v>216056.391</v>
      </c>
      <c r="P111" s="1175">
        <f>P116+P131+P134+P136+P157</f>
        <v>208393.49100000001</v>
      </c>
    </row>
    <row r="112" spans="2:17" ht="33" customHeight="1" x14ac:dyDescent="0.25">
      <c r="B112" s="1013"/>
      <c r="C112" s="1125"/>
      <c r="D112" s="1114"/>
      <c r="E112" s="1122"/>
      <c r="F112" s="1180"/>
      <c r="G112" s="75" t="s">
        <v>187</v>
      </c>
      <c r="H112" s="67" t="s">
        <v>241</v>
      </c>
      <c r="I112" s="87">
        <f>I117+I118+I119+I120+I121+I124+I125+I126+I127+I128+I129</f>
        <v>4640</v>
      </c>
      <c r="J112" s="1023"/>
      <c r="K112" s="65"/>
      <c r="L112" s="65"/>
      <c r="M112" s="1147"/>
      <c r="N112" s="1147"/>
      <c r="O112" s="1147"/>
      <c r="P112" s="1147"/>
    </row>
    <row r="113" spans="2:18" ht="84" customHeight="1" x14ac:dyDescent="0.25">
      <c r="B113" s="1013"/>
      <c r="C113" s="1125"/>
      <c r="D113" s="1114"/>
      <c r="E113" s="1122"/>
      <c r="F113" s="1180"/>
      <c r="G113" s="75" t="s">
        <v>254</v>
      </c>
      <c r="H113" s="67" t="s">
        <v>240</v>
      </c>
      <c r="I113" s="193" t="s">
        <v>553</v>
      </c>
      <c r="J113" s="1023"/>
      <c r="K113" s="65"/>
      <c r="L113" s="65"/>
      <c r="M113" s="1147"/>
      <c r="N113" s="1147"/>
      <c r="O113" s="1147"/>
      <c r="P113" s="1147"/>
    </row>
    <row r="114" spans="2:18" ht="81.75" customHeight="1" x14ac:dyDescent="0.25">
      <c r="B114" s="1013"/>
      <c r="C114" s="1125"/>
      <c r="D114" s="1114"/>
      <c r="E114" s="1122"/>
      <c r="F114" s="1180"/>
      <c r="G114" s="75" t="s">
        <v>527</v>
      </c>
      <c r="H114" s="67" t="s">
        <v>240</v>
      </c>
      <c r="I114" s="193" t="s">
        <v>374</v>
      </c>
      <c r="J114" s="1023"/>
      <c r="K114" s="65"/>
      <c r="L114" s="65"/>
      <c r="M114" s="1147"/>
      <c r="N114" s="1147"/>
      <c r="O114" s="1147"/>
      <c r="P114" s="1147"/>
      <c r="Q114" s="51"/>
      <c r="R114" s="51"/>
    </row>
    <row r="115" spans="2:18" ht="69" customHeight="1" thickBot="1" x14ac:dyDescent="0.3">
      <c r="B115" s="1014"/>
      <c r="C115" s="1126"/>
      <c r="D115" s="1035"/>
      <c r="E115" s="1123"/>
      <c r="F115" s="1181"/>
      <c r="G115" s="75" t="s">
        <v>220</v>
      </c>
      <c r="H115" s="67" t="s">
        <v>240</v>
      </c>
      <c r="I115" s="193">
        <v>2</v>
      </c>
      <c r="J115" s="1051"/>
      <c r="K115" s="65"/>
      <c r="L115" s="65"/>
      <c r="M115" s="1148"/>
      <c r="N115" s="1148"/>
      <c r="O115" s="1148"/>
      <c r="P115" s="1148"/>
    </row>
    <row r="116" spans="2:18" ht="32.25" thickBot="1" x14ac:dyDescent="0.3">
      <c r="B116" s="181" t="s">
        <v>172</v>
      </c>
      <c r="C116" s="186" t="s">
        <v>590</v>
      </c>
      <c r="D116" s="186" t="s">
        <v>116</v>
      </c>
      <c r="E116" s="189" t="s">
        <v>116</v>
      </c>
      <c r="F116" s="90" t="s">
        <v>589</v>
      </c>
      <c r="G116" s="190" t="s">
        <v>116</v>
      </c>
      <c r="H116" s="67" t="s">
        <v>116</v>
      </c>
      <c r="I116" s="193" t="s">
        <v>116</v>
      </c>
      <c r="J116" s="62" t="s">
        <v>363</v>
      </c>
      <c r="K116" s="65" t="s">
        <v>199</v>
      </c>
      <c r="L116" s="65"/>
      <c r="M116" s="215">
        <v>164165.89502</v>
      </c>
      <c r="N116" s="256">
        <v>198780.47399999999</v>
      </c>
      <c r="O116" s="257">
        <v>201745.541</v>
      </c>
      <c r="P116" s="233">
        <v>204943.49100000001</v>
      </c>
    </row>
    <row r="117" spans="2:18" ht="39" customHeight="1" x14ac:dyDescent="0.25">
      <c r="B117" s="1050" t="s">
        <v>172</v>
      </c>
      <c r="C117" s="1071" t="s">
        <v>590</v>
      </c>
      <c r="D117" s="1071" t="s">
        <v>450</v>
      </c>
      <c r="E117" s="1052" t="s">
        <v>449</v>
      </c>
      <c r="F117" s="70" t="s">
        <v>286</v>
      </c>
      <c r="G117" s="75" t="s">
        <v>187</v>
      </c>
      <c r="H117" s="191" t="s">
        <v>241</v>
      </c>
      <c r="I117" s="193">
        <v>332</v>
      </c>
      <c r="J117" s="1050" t="s">
        <v>363</v>
      </c>
      <c r="K117" s="65"/>
      <c r="L117" s="65"/>
      <c r="M117" s="1159">
        <v>12743.883459999999</v>
      </c>
      <c r="N117" s="1176"/>
      <c r="O117" s="1177"/>
      <c r="P117" s="1178"/>
    </row>
    <row r="118" spans="2:18" ht="39" customHeight="1" x14ac:dyDescent="0.25">
      <c r="B118" s="1051"/>
      <c r="C118" s="1072"/>
      <c r="D118" s="1072"/>
      <c r="E118" s="1054"/>
      <c r="F118" s="70" t="s">
        <v>448</v>
      </c>
      <c r="G118" s="75" t="s">
        <v>187</v>
      </c>
      <c r="H118" s="191" t="s">
        <v>241</v>
      </c>
      <c r="I118" s="193">
        <v>21</v>
      </c>
      <c r="J118" s="1051"/>
      <c r="K118" s="65"/>
      <c r="L118" s="65"/>
      <c r="M118" s="1152"/>
      <c r="N118" s="1165"/>
      <c r="O118" s="1167"/>
      <c r="P118" s="1163"/>
    </row>
    <row r="119" spans="2:18" ht="78" customHeight="1" x14ac:dyDescent="0.25">
      <c r="B119" s="62" t="s">
        <v>172</v>
      </c>
      <c r="C119" s="67" t="s">
        <v>590</v>
      </c>
      <c r="D119" s="186">
        <v>27301842</v>
      </c>
      <c r="E119" s="183" t="s">
        <v>408</v>
      </c>
      <c r="F119" s="70" t="s">
        <v>286</v>
      </c>
      <c r="G119" s="75" t="s">
        <v>187</v>
      </c>
      <c r="H119" s="191" t="s">
        <v>241</v>
      </c>
      <c r="I119" s="193">
        <v>652</v>
      </c>
      <c r="J119" s="62" t="s">
        <v>363</v>
      </c>
      <c r="K119" s="65"/>
      <c r="L119" s="65"/>
      <c r="M119" s="77">
        <v>19175.54494</v>
      </c>
      <c r="N119" s="78"/>
      <c r="O119" s="201"/>
      <c r="P119" s="203"/>
    </row>
    <row r="120" spans="2:18" ht="59.25" customHeight="1" x14ac:dyDescent="0.25">
      <c r="B120" s="62" t="s">
        <v>172</v>
      </c>
      <c r="C120" s="67" t="s">
        <v>590</v>
      </c>
      <c r="D120" s="186">
        <v>27302143</v>
      </c>
      <c r="E120" s="183" t="s">
        <v>451</v>
      </c>
      <c r="F120" s="70" t="s">
        <v>286</v>
      </c>
      <c r="G120" s="75" t="s">
        <v>187</v>
      </c>
      <c r="H120" s="191" t="s">
        <v>241</v>
      </c>
      <c r="I120" s="193">
        <v>569</v>
      </c>
      <c r="J120" s="62" t="s">
        <v>363</v>
      </c>
      <c r="K120" s="65"/>
      <c r="L120" s="65"/>
      <c r="M120" s="77">
        <v>17479.191999999999</v>
      </c>
      <c r="N120" s="78"/>
      <c r="O120" s="201"/>
      <c r="P120" s="203"/>
    </row>
    <row r="121" spans="2:18" ht="40.5" customHeight="1" x14ac:dyDescent="0.25">
      <c r="B121" s="1050" t="s">
        <v>172</v>
      </c>
      <c r="C121" s="1071" t="s">
        <v>590</v>
      </c>
      <c r="D121" s="1071" t="s">
        <v>533</v>
      </c>
      <c r="E121" s="1052" t="s">
        <v>452</v>
      </c>
      <c r="F121" s="70" t="s">
        <v>286</v>
      </c>
      <c r="G121" s="75" t="s">
        <v>187</v>
      </c>
      <c r="H121" s="191" t="s">
        <v>241</v>
      </c>
      <c r="I121" s="193">
        <v>1117</v>
      </c>
      <c r="J121" s="1050" t="s">
        <v>363</v>
      </c>
      <c r="K121" s="65"/>
      <c r="L121" s="65"/>
      <c r="M121" s="1159">
        <v>33001.228940000001</v>
      </c>
      <c r="N121" s="1164"/>
      <c r="O121" s="1166"/>
      <c r="P121" s="1162"/>
    </row>
    <row r="122" spans="2:18" ht="72.75" customHeight="1" x14ac:dyDescent="0.25">
      <c r="B122" s="1023"/>
      <c r="C122" s="1073"/>
      <c r="D122" s="1073"/>
      <c r="E122" s="1053"/>
      <c r="F122" s="70" t="str">
        <f>F52</f>
        <v>Услуги дополнительного образования</v>
      </c>
      <c r="G122" s="75" t="s">
        <v>381</v>
      </c>
      <c r="H122" s="191" t="s">
        <v>244</v>
      </c>
      <c r="I122" s="193" t="s">
        <v>572</v>
      </c>
      <c r="J122" s="1023"/>
      <c r="K122" s="65"/>
      <c r="L122" s="65"/>
      <c r="M122" s="1151"/>
      <c r="N122" s="1182"/>
      <c r="O122" s="1183"/>
      <c r="P122" s="1174"/>
    </row>
    <row r="123" spans="2:18" ht="42" customHeight="1" x14ac:dyDescent="0.25">
      <c r="B123" s="1051"/>
      <c r="C123" s="1072"/>
      <c r="D123" s="1072"/>
      <c r="E123" s="1054"/>
      <c r="F123" s="70" t="str">
        <f>F54</f>
        <v xml:space="preserve">Спортивные мероприятия </v>
      </c>
      <c r="G123" s="75" t="s">
        <v>234</v>
      </c>
      <c r="H123" s="191" t="s">
        <v>393</v>
      </c>
      <c r="I123" s="193" t="s">
        <v>263</v>
      </c>
      <c r="J123" s="1051"/>
      <c r="K123" s="65"/>
      <c r="L123" s="65"/>
      <c r="M123" s="1152"/>
      <c r="N123" s="1165"/>
      <c r="O123" s="1167"/>
      <c r="P123" s="1163"/>
    </row>
    <row r="124" spans="2:18" ht="51.75" customHeight="1" x14ac:dyDescent="0.25">
      <c r="B124" s="62" t="s">
        <v>172</v>
      </c>
      <c r="C124" s="67" t="s">
        <v>590</v>
      </c>
      <c r="D124" s="67">
        <v>27301835</v>
      </c>
      <c r="E124" s="190" t="s">
        <v>384</v>
      </c>
      <c r="F124" s="70" t="s">
        <v>286</v>
      </c>
      <c r="G124" s="75" t="s">
        <v>187</v>
      </c>
      <c r="H124" s="191" t="s">
        <v>241</v>
      </c>
      <c r="I124" s="193">
        <v>392</v>
      </c>
      <c r="J124" s="62" t="s">
        <v>363</v>
      </c>
      <c r="K124" s="65" t="s">
        <v>199</v>
      </c>
      <c r="L124" s="65">
        <f>M124+N124+O124</f>
        <v>28056.535339999999</v>
      </c>
      <c r="M124" s="77">
        <v>9954.1503400000001</v>
      </c>
      <c r="N124" s="78">
        <v>9051.1749999999993</v>
      </c>
      <c r="O124" s="201">
        <v>9051.2099999999991</v>
      </c>
      <c r="P124" s="203"/>
    </row>
    <row r="125" spans="2:18" ht="62.25" customHeight="1" x14ac:dyDescent="0.25">
      <c r="B125" s="62" t="s">
        <v>172</v>
      </c>
      <c r="C125" s="67" t="s">
        <v>590</v>
      </c>
      <c r="D125" s="67">
        <v>27301832</v>
      </c>
      <c r="E125" s="190" t="s">
        <v>385</v>
      </c>
      <c r="F125" s="70" t="s">
        <v>286</v>
      </c>
      <c r="G125" s="75" t="s">
        <v>187</v>
      </c>
      <c r="H125" s="191" t="s">
        <v>241</v>
      </c>
      <c r="I125" s="193">
        <v>411</v>
      </c>
      <c r="J125" s="62" t="s">
        <v>363</v>
      </c>
      <c r="K125" s="65" t="s">
        <v>199</v>
      </c>
      <c r="L125" s="65">
        <f>M125+N125+O125</f>
        <v>31248.449049999999</v>
      </c>
      <c r="M125" s="77">
        <v>10812.18705</v>
      </c>
      <c r="N125" s="78">
        <v>10218.115</v>
      </c>
      <c r="O125" s="201">
        <v>10218.147000000001</v>
      </c>
      <c r="P125" s="203"/>
    </row>
    <row r="126" spans="2:18" ht="48.75" customHeight="1" x14ac:dyDescent="0.25">
      <c r="B126" s="62" t="s">
        <v>172</v>
      </c>
      <c r="C126" s="67" t="s">
        <v>590</v>
      </c>
      <c r="D126" s="67">
        <v>27302165</v>
      </c>
      <c r="E126" s="190" t="s">
        <v>422</v>
      </c>
      <c r="F126" s="70" t="s">
        <v>286</v>
      </c>
      <c r="G126" s="75" t="s">
        <v>187</v>
      </c>
      <c r="H126" s="191" t="s">
        <v>241</v>
      </c>
      <c r="I126" s="193">
        <v>453</v>
      </c>
      <c r="J126" s="62" t="s">
        <v>363</v>
      </c>
      <c r="K126" s="65" t="s">
        <v>199</v>
      </c>
      <c r="L126" s="65"/>
      <c r="M126" s="77">
        <v>29601.87066</v>
      </c>
      <c r="N126" s="78"/>
      <c r="O126" s="201"/>
      <c r="P126" s="203"/>
    </row>
    <row r="127" spans="2:18" ht="42.75" customHeight="1" x14ac:dyDescent="0.25">
      <c r="B127" s="62" t="s">
        <v>172</v>
      </c>
      <c r="C127" s="67" t="s">
        <v>590</v>
      </c>
      <c r="D127" s="67">
        <v>27301821</v>
      </c>
      <c r="E127" s="190" t="s">
        <v>525</v>
      </c>
      <c r="F127" s="70" t="s">
        <v>286</v>
      </c>
      <c r="G127" s="75" t="s">
        <v>187</v>
      </c>
      <c r="H127" s="191" t="s">
        <v>241</v>
      </c>
      <c r="I127" s="193">
        <v>463</v>
      </c>
      <c r="J127" s="62" t="s">
        <v>363</v>
      </c>
      <c r="K127" s="65"/>
      <c r="L127" s="65"/>
      <c r="M127" s="77">
        <v>10034.32408</v>
      </c>
      <c r="N127" s="78"/>
      <c r="O127" s="201"/>
      <c r="P127" s="203"/>
    </row>
    <row r="128" spans="2:18" ht="43.5" customHeight="1" x14ac:dyDescent="0.25">
      <c r="B128" s="1050" t="s">
        <v>172</v>
      </c>
      <c r="C128" s="1071" t="s">
        <v>590</v>
      </c>
      <c r="D128" s="1071">
        <v>27301829</v>
      </c>
      <c r="E128" s="1052" t="s">
        <v>426</v>
      </c>
      <c r="F128" s="70" t="s">
        <v>286</v>
      </c>
      <c r="G128" s="75" t="s">
        <v>187</v>
      </c>
      <c r="H128" s="191" t="s">
        <v>241</v>
      </c>
      <c r="I128" s="193">
        <v>197</v>
      </c>
      <c r="J128" s="1050" t="s">
        <v>363</v>
      </c>
      <c r="K128" s="65"/>
      <c r="L128" s="65"/>
      <c r="M128" s="1159">
        <v>13479.435960000001</v>
      </c>
      <c r="N128" s="1164"/>
      <c r="O128" s="1166"/>
      <c r="P128" s="1162"/>
    </row>
    <row r="129" spans="2:20" ht="37.5" customHeight="1" x14ac:dyDescent="0.25">
      <c r="B129" s="1051"/>
      <c r="C129" s="1072"/>
      <c r="D129" s="1072"/>
      <c r="E129" s="1054"/>
      <c r="F129" s="70" t="s">
        <v>448</v>
      </c>
      <c r="G129" s="75" t="s">
        <v>187</v>
      </c>
      <c r="H129" s="191" t="s">
        <v>241</v>
      </c>
      <c r="I129" s="193">
        <v>33</v>
      </c>
      <c r="J129" s="1051"/>
      <c r="K129" s="65"/>
      <c r="L129" s="65"/>
      <c r="M129" s="1152"/>
      <c r="N129" s="1165"/>
      <c r="O129" s="1167"/>
      <c r="P129" s="1163"/>
    </row>
    <row r="130" spans="2:20" ht="37.5" customHeight="1" thickBot="1" x14ac:dyDescent="0.3">
      <c r="B130" s="62" t="s">
        <v>172</v>
      </c>
      <c r="C130" s="67" t="s">
        <v>590</v>
      </c>
      <c r="D130" s="67">
        <v>27300364</v>
      </c>
      <c r="E130" s="190" t="s">
        <v>192</v>
      </c>
      <c r="F130" s="70"/>
      <c r="G130" s="75" t="s">
        <v>187</v>
      </c>
      <c r="H130" s="191" t="s">
        <v>241</v>
      </c>
      <c r="I130" s="193" t="s">
        <v>468</v>
      </c>
      <c r="J130" s="181" t="s">
        <v>363</v>
      </c>
      <c r="K130" s="65"/>
      <c r="L130" s="65"/>
      <c r="M130" s="210">
        <f>367.00825+2297.333</f>
        <v>2664.3412499999999</v>
      </c>
      <c r="N130" s="78"/>
      <c r="O130" s="212"/>
      <c r="P130" s="216"/>
    </row>
    <row r="131" spans="2:20" ht="71.25" customHeight="1" x14ac:dyDescent="0.25">
      <c r="B131" s="62" t="s">
        <v>172</v>
      </c>
      <c r="C131" s="67" t="s">
        <v>593</v>
      </c>
      <c r="D131" s="67" t="s">
        <v>116</v>
      </c>
      <c r="E131" s="190" t="s">
        <v>116</v>
      </c>
      <c r="F131" s="69" t="s">
        <v>237</v>
      </c>
      <c r="G131" s="190" t="s">
        <v>116</v>
      </c>
      <c r="H131" s="67" t="s">
        <v>116</v>
      </c>
      <c r="I131" s="193" t="s">
        <v>116</v>
      </c>
      <c r="J131" s="62" t="s">
        <v>407</v>
      </c>
      <c r="K131" s="65" t="s">
        <v>199</v>
      </c>
      <c r="L131" s="79">
        <f>L132+L133</f>
        <v>0</v>
      </c>
      <c r="M131" s="215">
        <f>M132+M133</f>
        <v>8682.7677100000001</v>
      </c>
      <c r="N131" s="259">
        <f>N132+N133</f>
        <v>0</v>
      </c>
      <c r="O131" s="219">
        <f>O132+O133</f>
        <v>0</v>
      </c>
      <c r="P131" s="220">
        <f>P132+P133</f>
        <v>0</v>
      </c>
    </row>
    <row r="132" spans="2:20" ht="78.75" x14ac:dyDescent="0.25">
      <c r="B132" s="62" t="s">
        <v>172</v>
      </c>
      <c r="C132" s="67" t="s">
        <v>593</v>
      </c>
      <c r="D132" s="67">
        <v>27302142</v>
      </c>
      <c r="E132" s="190" t="s">
        <v>88</v>
      </c>
      <c r="F132" s="91" t="s">
        <v>457</v>
      </c>
      <c r="G132" s="75" t="s">
        <v>435</v>
      </c>
      <c r="H132" s="67" t="s">
        <v>240</v>
      </c>
      <c r="I132" s="193">
        <v>1</v>
      </c>
      <c r="J132" s="62" t="s">
        <v>363</v>
      </c>
      <c r="K132" s="65"/>
      <c r="L132" s="79"/>
      <c r="M132" s="262">
        <v>5057.16</v>
      </c>
      <c r="N132" s="79">
        <v>0</v>
      </c>
      <c r="O132" s="200">
        <v>0</v>
      </c>
      <c r="P132" s="236">
        <v>0</v>
      </c>
    </row>
    <row r="133" spans="2:20" ht="79.5" thickBot="1" x14ac:dyDescent="0.3">
      <c r="B133" s="62" t="s">
        <v>172</v>
      </c>
      <c r="C133" s="67" t="s">
        <v>593</v>
      </c>
      <c r="D133" s="67">
        <v>27302165</v>
      </c>
      <c r="E133" s="190" t="s">
        <v>422</v>
      </c>
      <c r="F133" s="91" t="s">
        <v>626</v>
      </c>
      <c r="G133" s="75" t="s">
        <v>435</v>
      </c>
      <c r="H133" s="67" t="s">
        <v>240</v>
      </c>
      <c r="I133" s="193">
        <v>1</v>
      </c>
      <c r="J133" s="62" t="s">
        <v>363</v>
      </c>
      <c r="K133" s="65"/>
      <c r="L133" s="79"/>
      <c r="M133" s="262">
        <v>3625.6077100000002</v>
      </c>
      <c r="N133" s="79">
        <v>0</v>
      </c>
      <c r="O133" s="200">
        <v>0</v>
      </c>
      <c r="P133" s="263">
        <v>0</v>
      </c>
    </row>
    <row r="134" spans="2:20" ht="52.5" customHeight="1" thickBot="1" x14ac:dyDescent="0.3">
      <c r="B134" s="62" t="s">
        <v>172</v>
      </c>
      <c r="C134" s="67" t="s">
        <v>592</v>
      </c>
      <c r="D134" s="190" t="s">
        <v>116</v>
      </c>
      <c r="E134" s="190" t="s">
        <v>116</v>
      </c>
      <c r="F134" s="69" t="s">
        <v>591</v>
      </c>
      <c r="G134" s="75" t="s">
        <v>465</v>
      </c>
      <c r="H134" s="67" t="s">
        <v>240</v>
      </c>
      <c r="I134" s="193">
        <v>1</v>
      </c>
      <c r="J134" s="62" t="s">
        <v>466</v>
      </c>
      <c r="K134" s="65"/>
      <c r="L134" s="79">
        <f>L135</f>
        <v>0</v>
      </c>
      <c r="M134" s="215">
        <f>M135</f>
        <v>4626.6000000000004</v>
      </c>
      <c r="N134" s="259">
        <f>N135</f>
        <v>0</v>
      </c>
      <c r="O134" s="219">
        <f>O135</f>
        <v>2609.4</v>
      </c>
      <c r="P134" s="261">
        <v>0</v>
      </c>
    </row>
    <row r="135" spans="2:20" ht="48" thickBot="1" x14ac:dyDescent="0.3">
      <c r="B135" s="62" t="s">
        <v>172</v>
      </c>
      <c r="C135" s="67" t="s">
        <v>592</v>
      </c>
      <c r="D135" s="67">
        <v>27302142</v>
      </c>
      <c r="E135" s="190" t="s">
        <v>88</v>
      </c>
      <c r="F135" s="91" t="s">
        <v>467</v>
      </c>
      <c r="G135" s="75" t="s">
        <v>465</v>
      </c>
      <c r="H135" s="67" t="s">
        <v>240</v>
      </c>
      <c r="I135" s="193">
        <v>1</v>
      </c>
      <c r="J135" s="62" t="s">
        <v>466</v>
      </c>
      <c r="K135" s="65"/>
      <c r="L135" s="79"/>
      <c r="M135" s="77">
        <v>4626.6000000000004</v>
      </c>
      <c r="N135" s="286">
        <v>0</v>
      </c>
      <c r="O135" s="288">
        <v>2609.4</v>
      </c>
      <c r="P135" s="265">
        <v>0</v>
      </c>
    </row>
    <row r="136" spans="2:20" ht="53.25" customHeight="1" thickBot="1" x14ac:dyDescent="0.3">
      <c r="B136" s="62" t="s">
        <v>172</v>
      </c>
      <c r="C136" s="67" t="s">
        <v>291</v>
      </c>
      <c r="D136" s="67" t="s">
        <v>116</v>
      </c>
      <c r="E136" s="190" t="s">
        <v>116</v>
      </c>
      <c r="F136" s="69" t="s">
        <v>77</v>
      </c>
      <c r="G136" s="190" t="s">
        <v>116</v>
      </c>
      <c r="H136" s="67" t="s">
        <v>116</v>
      </c>
      <c r="I136" s="193" t="s">
        <v>116</v>
      </c>
      <c r="J136" s="62" t="s">
        <v>363</v>
      </c>
      <c r="K136" s="65"/>
      <c r="L136" s="65"/>
      <c r="M136" s="215">
        <v>15820.941699999999</v>
      </c>
      <c r="N136" s="256">
        <v>15268.359</v>
      </c>
      <c r="O136" s="257">
        <v>10212</v>
      </c>
      <c r="P136" s="233">
        <v>3450</v>
      </c>
    </row>
    <row r="137" spans="2:20" ht="53.25" customHeight="1" x14ac:dyDescent="0.25">
      <c r="B137" s="62" t="s">
        <v>172</v>
      </c>
      <c r="C137" s="67" t="s">
        <v>291</v>
      </c>
      <c r="D137" s="67" t="s">
        <v>450</v>
      </c>
      <c r="E137" s="190" t="s">
        <v>449</v>
      </c>
      <c r="F137" s="70" t="s">
        <v>643</v>
      </c>
      <c r="G137" s="75" t="s">
        <v>642</v>
      </c>
      <c r="H137" s="67" t="s">
        <v>240</v>
      </c>
      <c r="I137" s="193">
        <v>1</v>
      </c>
      <c r="J137" s="62" t="s">
        <v>363</v>
      </c>
      <c r="K137" s="65"/>
      <c r="L137" s="65"/>
      <c r="M137" s="77">
        <v>34.219000000000001</v>
      </c>
      <c r="N137" s="287"/>
      <c r="O137" s="289"/>
      <c r="P137" s="217"/>
    </row>
    <row r="138" spans="2:20" ht="68.25" customHeight="1" x14ac:dyDescent="0.25">
      <c r="B138" s="62" t="s">
        <v>172</v>
      </c>
      <c r="C138" s="67" t="s">
        <v>291</v>
      </c>
      <c r="D138" s="67">
        <v>27301842</v>
      </c>
      <c r="E138" s="190" t="s">
        <v>408</v>
      </c>
      <c r="F138" s="70" t="s">
        <v>669</v>
      </c>
      <c r="G138" s="75" t="s">
        <v>409</v>
      </c>
      <c r="H138" s="67" t="s">
        <v>240</v>
      </c>
      <c r="I138" s="193">
        <v>1</v>
      </c>
      <c r="J138" s="62" t="s">
        <v>363</v>
      </c>
      <c r="K138" s="65" t="s">
        <v>199</v>
      </c>
      <c r="L138" s="65">
        <f t="shared" ref="L138:L148" si="3">M138+N138+O138</f>
        <v>2641.549</v>
      </c>
      <c r="M138" s="77">
        <f>(2641.549+143.68096)-143.68096</f>
        <v>2641.549</v>
      </c>
      <c r="N138" s="79">
        <v>0</v>
      </c>
      <c r="O138" s="200">
        <v>0</v>
      </c>
      <c r="P138" s="203"/>
      <c r="T138" s="37" t="s">
        <v>679</v>
      </c>
    </row>
    <row r="139" spans="2:20" ht="83.25" customHeight="1" x14ac:dyDescent="0.25">
      <c r="B139" s="62" t="s">
        <v>172</v>
      </c>
      <c r="C139" s="67" t="s">
        <v>291</v>
      </c>
      <c r="D139" s="67">
        <v>27302143</v>
      </c>
      <c r="E139" s="190" t="s">
        <v>405</v>
      </c>
      <c r="F139" s="70" t="s">
        <v>625</v>
      </c>
      <c r="G139" s="75" t="s">
        <v>406</v>
      </c>
      <c r="H139" s="67" t="s">
        <v>240</v>
      </c>
      <c r="I139" s="193">
        <v>3</v>
      </c>
      <c r="J139" s="62" t="s">
        <v>363</v>
      </c>
      <c r="K139" s="65" t="s">
        <v>199</v>
      </c>
      <c r="L139" s="65">
        <f t="shared" si="3"/>
        <v>1039.44</v>
      </c>
      <c r="M139" s="77">
        <f>947.14+92.3</f>
        <v>1039.44</v>
      </c>
      <c r="N139" s="79">
        <v>0</v>
      </c>
      <c r="O139" s="200">
        <v>0</v>
      </c>
      <c r="P139" s="203"/>
    </row>
    <row r="140" spans="2:20" ht="38.25" customHeight="1" x14ac:dyDescent="0.25">
      <c r="B140" s="62" t="s">
        <v>172</v>
      </c>
      <c r="C140" s="67" t="s">
        <v>291</v>
      </c>
      <c r="D140" s="67" t="s">
        <v>533</v>
      </c>
      <c r="E140" s="190" t="s">
        <v>411</v>
      </c>
      <c r="F140" s="70" t="s">
        <v>413</v>
      </c>
      <c r="G140" s="75" t="s">
        <v>414</v>
      </c>
      <c r="H140" s="67" t="s">
        <v>240</v>
      </c>
      <c r="I140" s="193">
        <v>1</v>
      </c>
      <c r="J140" s="62" t="s">
        <v>363</v>
      </c>
      <c r="K140" s="65" t="s">
        <v>199</v>
      </c>
      <c r="L140" s="65">
        <f t="shared" si="3"/>
        <v>1544.57</v>
      </c>
      <c r="M140" s="77">
        <v>1544.57</v>
      </c>
      <c r="N140" s="79">
        <v>0</v>
      </c>
      <c r="O140" s="200">
        <v>0</v>
      </c>
      <c r="P140" s="203"/>
    </row>
    <row r="141" spans="2:20" ht="54" customHeight="1" x14ac:dyDescent="0.25">
      <c r="B141" s="62" t="s">
        <v>172</v>
      </c>
      <c r="C141" s="67" t="s">
        <v>291</v>
      </c>
      <c r="D141" s="67" t="s">
        <v>533</v>
      </c>
      <c r="E141" s="190" t="s">
        <v>411</v>
      </c>
      <c r="F141" s="70" t="s">
        <v>415</v>
      </c>
      <c r="G141" s="75" t="s">
        <v>416</v>
      </c>
      <c r="H141" s="67" t="s">
        <v>240</v>
      </c>
      <c r="I141" s="193">
        <v>10</v>
      </c>
      <c r="J141" s="62" t="s">
        <v>363</v>
      </c>
      <c r="K141" s="65" t="s">
        <v>199</v>
      </c>
      <c r="L141" s="65">
        <f t="shared" si="3"/>
        <v>2158.3119999999999</v>
      </c>
      <c r="M141" s="77">
        <v>2158.3119999999999</v>
      </c>
      <c r="N141" s="79">
        <v>0</v>
      </c>
      <c r="O141" s="200">
        <v>0</v>
      </c>
      <c r="P141" s="203"/>
    </row>
    <row r="142" spans="2:20" ht="54" customHeight="1" x14ac:dyDescent="0.25">
      <c r="B142" s="62" t="s">
        <v>172</v>
      </c>
      <c r="C142" s="67" t="s">
        <v>291</v>
      </c>
      <c r="D142" s="67" t="s">
        <v>533</v>
      </c>
      <c r="E142" s="190" t="s">
        <v>411</v>
      </c>
      <c r="F142" s="70" t="s">
        <v>418</v>
      </c>
      <c r="G142" s="75" t="s">
        <v>417</v>
      </c>
      <c r="H142" s="67" t="s">
        <v>240</v>
      </c>
      <c r="I142" s="193">
        <v>1</v>
      </c>
      <c r="J142" s="62" t="s">
        <v>363</v>
      </c>
      <c r="K142" s="65" t="s">
        <v>199</v>
      </c>
      <c r="L142" s="65">
        <f t="shared" si="3"/>
        <v>747.68</v>
      </c>
      <c r="M142" s="77">
        <v>747.68</v>
      </c>
      <c r="N142" s="79">
        <v>0</v>
      </c>
      <c r="O142" s="200">
        <v>0</v>
      </c>
      <c r="P142" s="203"/>
    </row>
    <row r="143" spans="2:20" ht="46.5" customHeight="1" x14ac:dyDescent="0.25">
      <c r="B143" s="62" t="s">
        <v>172</v>
      </c>
      <c r="C143" s="67" t="s">
        <v>291</v>
      </c>
      <c r="D143" s="67" t="s">
        <v>533</v>
      </c>
      <c r="E143" s="190" t="s">
        <v>411</v>
      </c>
      <c r="F143" s="70" t="s">
        <v>537</v>
      </c>
      <c r="G143" s="75" t="s">
        <v>538</v>
      </c>
      <c r="H143" s="67" t="s">
        <v>240</v>
      </c>
      <c r="I143" s="193">
        <v>1</v>
      </c>
      <c r="J143" s="62" t="s">
        <v>363</v>
      </c>
      <c r="K143" s="65"/>
      <c r="L143" s="65">
        <f t="shared" si="3"/>
        <v>77.841999999999999</v>
      </c>
      <c r="M143" s="77">
        <v>77.841999999999999</v>
      </c>
      <c r="N143" s="79">
        <v>0</v>
      </c>
      <c r="O143" s="200">
        <v>0</v>
      </c>
      <c r="P143" s="203"/>
    </row>
    <row r="144" spans="2:20" ht="46.5" customHeight="1" x14ac:dyDescent="0.25">
      <c r="B144" s="62" t="s">
        <v>172</v>
      </c>
      <c r="C144" s="67" t="s">
        <v>291</v>
      </c>
      <c r="D144" s="67" t="s">
        <v>533</v>
      </c>
      <c r="E144" s="190" t="s">
        <v>411</v>
      </c>
      <c r="F144" s="70" t="s">
        <v>539</v>
      </c>
      <c r="G144" s="75" t="s">
        <v>388</v>
      </c>
      <c r="H144" s="67" t="s">
        <v>240</v>
      </c>
      <c r="I144" s="193">
        <v>1</v>
      </c>
      <c r="J144" s="62" t="s">
        <v>363</v>
      </c>
      <c r="K144" s="65"/>
      <c r="L144" s="65">
        <f t="shared" si="3"/>
        <v>892.54700000000003</v>
      </c>
      <c r="M144" s="77">
        <v>892.54700000000003</v>
      </c>
      <c r="N144" s="79">
        <v>0</v>
      </c>
      <c r="O144" s="200">
        <v>0</v>
      </c>
      <c r="P144" s="203"/>
    </row>
    <row r="145" spans="2:20" ht="69" customHeight="1" x14ac:dyDescent="0.25">
      <c r="B145" s="62" t="s">
        <v>172</v>
      </c>
      <c r="C145" s="67" t="s">
        <v>291</v>
      </c>
      <c r="D145" s="67">
        <v>27301835</v>
      </c>
      <c r="E145" s="190" t="s">
        <v>419</v>
      </c>
      <c r="F145" s="70" t="s">
        <v>420</v>
      </c>
      <c r="G145" s="75" t="s">
        <v>434</v>
      </c>
      <c r="H145" s="67" t="s">
        <v>240</v>
      </c>
      <c r="I145" s="193">
        <v>3</v>
      </c>
      <c r="J145" s="62" t="s">
        <v>363</v>
      </c>
      <c r="K145" s="65" t="s">
        <v>199</v>
      </c>
      <c r="L145" s="65">
        <f t="shared" si="3"/>
        <v>361.20499999999998</v>
      </c>
      <c r="M145" s="77">
        <v>361.20499999999998</v>
      </c>
      <c r="N145" s="79">
        <v>0</v>
      </c>
      <c r="O145" s="200">
        <v>0</v>
      </c>
      <c r="P145" s="203"/>
      <c r="R145" s="50"/>
    </row>
    <row r="146" spans="2:20" ht="54" customHeight="1" x14ac:dyDescent="0.25">
      <c r="B146" s="62" t="s">
        <v>172</v>
      </c>
      <c r="C146" s="67" t="s">
        <v>291</v>
      </c>
      <c r="D146" s="67">
        <v>27301835</v>
      </c>
      <c r="E146" s="190" t="s">
        <v>419</v>
      </c>
      <c r="F146" s="70" t="s">
        <v>490</v>
      </c>
      <c r="G146" s="75" t="s">
        <v>491</v>
      </c>
      <c r="H146" s="67" t="s">
        <v>240</v>
      </c>
      <c r="I146" s="193">
        <v>2</v>
      </c>
      <c r="J146" s="62" t="s">
        <v>363</v>
      </c>
      <c r="K146" s="65"/>
      <c r="L146" s="65">
        <f t="shared" si="3"/>
        <v>121.43</v>
      </c>
      <c r="M146" s="77">
        <v>121.43</v>
      </c>
      <c r="N146" s="79">
        <v>0</v>
      </c>
      <c r="O146" s="200">
        <v>0</v>
      </c>
      <c r="P146" s="203"/>
    </row>
    <row r="147" spans="2:20" ht="54" customHeight="1" x14ac:dyDescent="0.25">
      <c r="B147" s="62" t="s">
        <v>172</v>
      </c>
      <c r="C147" s="67" t="s">
        <v>291</v>
      </c>
      <c r="D147" s="67">
        <v>27301835</v>
      </c>
      <c r="E147" s="190" t="s">
        <v>419</v>
      </c>
      <c r="F147" s="70" t="s">
        <v>492</v>
      </c>
      <c r="G147" s="75" t="s">
        <v>488</v>
      </c>
      <c r="H147" s="67" t="s">
        <v>240</v>
      </c>
      <c r="I147" s="193">
        <v>2</v>
      </c>
      <c r="J147" s="62" t="s">
        <v>363</v>
      </c>
      <c r="K147" s="65"/>
      <c r="L147" s="65">
        <f t="shared" si="3"/>
        <v>650</v>
      </c>
      <c r="M147" s="77">
        <v>650</v>
      </c>
      <c r="N147" s="79">
        <v>0</v>
      </c>
      <c r="O147" s="200">
        <v>0</v>
      </c>
      <c r="P147" s="203"/>
    </row>
    <row r="148" spans="2:20" ht="54" customHeight="1" x14ac:dyDescent="0.25">
      <c r="B148" s="62" t="s">
        <v>172</v>
      </c>
      <c r="C148" s="67" t="s">
        <v>291</v>
      </c>
      <c r="D148" s="67">
        <v>27301835</v>
      </c>
      <c r="E148" s="190" t="s">
        <v>419</v>
      </c>
      <c r="F148" s="70" t="s">
        <v>566</v>
      </c>
      <c r="G148" s="75" t="s">
        <v>567</v>
      </c>
      <c r="H148" s="67" t="s">
        <v>240</v>
      </c>
      <c r="I148" s="193" t="s">
        <v>568</v>
      </c>
      <c r="J148" s="62" t="s">
        <v>363</v>
      </c>
      <c r="K148" s="65"/>
      <c r="L148" s="65">
        <f t="shared" si="3"/>
        <v>419.28199999999998</v>
      </c>
      <c r="M148" s="77">
        <v>419.28199999999998</v>
      </c>
      <c r="N148" s="79">
        <v>0</v>
      </c>
      <c r="O148" s="200">
        <v>0</v>
      </c>
      <c r="P148" s="203"/>
    </row>
    <row r="149" spans="2:20" ht="54" customHeight="1" x14ac:dyDescent="0.25">
      <c r="B149" s="62" t="s">
        <v>172</v>
      </c>
      <c r="C149" s="67" t="s">
        <v>291</v>
      </c>
      <c r="D149" s="67">
        <v>27301835</v>
      </c>
      <c r="E149" s="190" t="s">
        <v>419</v>
      </c>
      <c r="F149" s="70" t="s">
        <v>641</v>
      </c>
      <c r="G149" s="75" t="s">
        <v>414</v>
      </c>
      <c r="H149" s="67" t="s">
        <v>240</v>
      </c>
      <c r="I149" s="193" t="s">
        <v>263</v>
      </c>
      <c r="J149" s="62" t="s">
        <v>363</v>
      </c>
      <c r="K149" s="65"/>
      <c r="L149" s="65"/>
      <c r="M149" s="77">
        <v>58</v>
      </c>
      <c r="N149" s="79"/>
      <c r="O149" s="200"/>
      <c r="P149" s="203"/>
    </row>
    <row r="150" spans="2:20" ht="103.5" customHeight="1" x14ac:dyDescent="0.25">
      <c r="B150" s="62" t="s">
        <v>172</v>
      </c>
      <c r="C150" s="67" t="s">
        <v>291</v>
      </c>
      <c r="D150" s="67">
        <v>27301832</v>
      </c>
      <c r="E150" s="190" t="s">
        <v>385</v>
      </c>
      <c r="F150" s="70" t="s">
        <v>529</v>
      </c>
      <c r="G150" s="75" t="s">
        <v>530</v>
      </c>
      <c r="H150" s="67" t="s">
        <v>240</v>
      </c>
      <c r="I150" s="193" t="s">
        <v>531</v>
      </c>
      <c r="J150" s="62" t="s">
        <v>363</v>
      </c>
      <c r="K150" s="65"/>
      <c r="L150" s="65"/>
      <c r="M150" s="77">
        <f>(3240.19969+467.72855-30)-467.72855</f>
        <v>3210.1996899999999</v>
      </c>
      <c r="N150" s="79">
        <v>0</v>
      </c>
      <c r="O150" s="200">
        <v>0</v>
      </c>
      <c r="P150" s="203"/>
      <c r="T150" s="37" t="s">
        <v>679</v>
      </c>
    </row>
    <row r="151" spans="2:20" ht="66.75" customHeight="1" x14ac:dyDescent="0.25">
      <c r="B151" s="62" t="s">
        <v>172</v>
      </c>
      <c r="C151" s="67" t="s">
        <v>291</v>
      </c>
      <c r="D151" s="67">
        <v>27301832</v>
      </c>
      <c r="E151" s="190" t="s">
        <v>385</v>
      </c>
      <c r="F151" s="70" t="s">
        <v>655</v>
      </c>
      <c r="G151" s="75" t="s">
        <v>656</v>
      </c>
      <c r="H151" s="67" t="s">
        <v>240</v>
      </c>
      <c r="I151" s="193" t="s">
        <v>263</v>
      </c>
      <c r="J151" s="62" t="s">
        <v>363</v>
      </c>
      <c r="K151" s="65"/>
      <c r="L151" s="65"/>
      <c r="M151" s="77">
        <v>30</v>
      </c>
      <c r="N151" s="79"/>
      <c r="O151" s="200"/>
      <c r="P151" s="203"/>
    </row>
    <row r="152" spans="2:20" ht="33.75" customHeight="1" x14ac:dyDescent="0.25">
      <c r="B152" s="62" t="s">
        <v>172</v>
      </c>
      <c r="C152" s="67" t="s">
        <v>291</v>
      </c>
      <c r="D152" s="67">
        <v>27302165</v>
      </c>
      <c r="E152" s="190" t="s">
        <v>422</v>
      </c>
      <c r="F152" s="70" t="s">
        <v>494</v>
      </c>
      <c r="G152" s="75" t="s">
        <v>480</v>
      </c>
      <c r="H152" s="67" t="s">
        <v>240</v>
      </c>
      <c r="I152" s="193">
        <v>17</v>
      </c>
      <c r="J152" s="62" t="s">
        <v>363</v>
      </c>
      <c r="K152" s="65"/>
      <c r="L152" s="65">
        <f>M152+N152+O152</f>
        <v>133.6</v>
      </c>
      <c r="M152" s="77">
        <v>133.6</v>
      </c>
      <c r="N152" s="79">
        <v>0</v>
      </c>
      <c r="O152" s="200">
        <v>0</v>
      </c>
      <c r="P152" s="203"/>
    </row>
    <row r="153" spans="2:20" ht="60.75" customHeight="1" x14ac:dyDescent="0.25">
      <c r="B153" s="62" t="s">
        <v>172</v>
      </c>
      <c r="C153" s="67" t="s">
        <v>291</v>
      </c>
      <c r="D153" s="67">
        <v>27301829</v>
      </c>
      <c r="E153" s="190" t="s">
        <v>426</v>
      </c>
      <c r="F153" s="70" t="s">
        <v>496</v>
      </c>
      <c r="G153" s="75" t="s">
        <v>489</v>
      </c>
      <c r="H153" s="67" t="s">
        <v>240</v>
      </c>
      <c r="I153" s="193">
        <v>1</v>
      </c>
      <c r="J153" s="62" t="s">
        <v>363</v>
      </c>
      <c r="K153" s="65"/>
      <c r="L153" s="65">
        <f>M153+N153+O153</f>
        <v>589.4</v>
      </c>
      <c r="M153" s="77">
        <f>465.097+124.303</f>
        <v>589.4</v>
      </c>
      <c r="N153" s="79">
        <v>0</v>
      </c>
      <c r="O153" s="200">
        <v>0</v>
      </c>
      <c r="P153" s="203"/>
    </row>
    <row r="154" spans="2:20" ht="33" customHeight="1" thickBot="1" x14ac:dyDescent="0.3">
      <c r="B154" s="62" t="s">
        <v>172</v>
      </c>
      <c r="C154" s="67" t="s">
        <v>291</v>
      </c>
      <c r="D154" s="67">
        <v>27300364</v>
      </c>
      <c r="E154" s="190" t="s">
        <v>192</v>
      </c>
      <c r="F154" s="70" t="s">
        <v>635</v>
      </c>
      <c r="G154" s="75" t="s">
        <v>190</v>
      </c>
      <c r="H154" s="191" t="s">
        <v>240</v>
      </c>
      <c r="I154" s="193" t="s">
        <v>468</v>
      </c>
      <c r="J154" s="62" t="s">
        <v>363</v>
      </c>
      <c r="K154" s="65"/>
      <c r="L154" s="65"/>
      <c r="M154" s="77">
        <f>85.673</f>
        <v>85.673000000000002</v>
      </c>
      <c r="N154" s="79"/>
      <c r="O154" s="200"/>
      <c r="P154" s="203"/>
    </row>
    <row r="155" spans="2:20" ht="47.25" hidden="1" customHeight="1" x14ac:dyDescent="0.25">
      <c r="B155" s="62" t="s">
        <v>172</v>
      </c>
      <c r="C155" s="67"/>
      <c r="D155" s="67">
        <v>27302165</v>
      </c>
      <c r="E155" s="190" t="s">
        <v>422</v>
      </c>
      <c r="F155" s="70" t="s">
        <v>421</v>
      </c>
      <c r="G155" s="75" t="s">
        <v>423</v>
      </c>
      <c r="H155" s="67" t="s">
        <v>240</v>
      </c>
      <c r="I155" s="193">
        <v>1</v>
      </c>
      <c r="J155" s="62" t="s">
        <v>363</v>
      </c>
      <c r="K155" s="65"/>
      <c r="L155" s="65">
        <f t="shared" ref="L155:L160" si="4">M155+N155+O155</f>
        <v>2000</v>
      </c>
      <c r="M155" s="77">
        <v>0</v>
      </c>
      <c r="N155" s="79">
        <v>2000</v>
      </c>
      <c r="O155" s="200">
        <v>0</v>
      </c>
      <c r="P155" s="203"/>
    </row>
    <row r="156" spans="2:20" ht="31.5" hidden="1" customHeight="1" x14ac:dyDescent="0.25">
      <c r="B156" s="62" t="s">
        <v>172</v>
      </c>
      <c r="C156" s="67"/>
      <c r="D156" s="67">
        <v>27302165</v>
      </c>
      <c r="E156" s="190" t="s">
        <v>422</v>
      </c>
      <c r="F156" s="70" t="s">
        <v>424</v>
      </c>
      <c r="G156" s="75" t="s">
        <v>425</v>
      </c>
      <c r="H156" s="67" t="s">
        <v>240</v>
      </c>
      <c r="I156" s="193">
        <v>1</v>
      </c>
      <c r="J156" s="62" t="s">
        <v>363</v>
      </c>
      <c r="K156" s="65" t="s">
        <v>199</v>
      </c>
      <c r="L156" s="65">
        <f t="shared" si="4"/>
        <v>7000</v>
      </c>
      <c r="M156" s="77">
        <v>0</v>
      </c>
      <c r="N156" s="79">
        <v>0</v>
      </c>
      <c r="O156" s="200">
        <v>7000</v>
      </c>
      <c r="P156" s="216"/>
    </row>
    <row r="157" spans="2:20" ht="32.25" thickBot="1" x14ac:dyDescent="0.3">
      <c r="B157" s="62" t="s">
        <v>172</v>
      </c>
      <c r="C157" s="67" t="s">
        <v>295</v>
      </c>
      <c r="D157" s="190" t="s">
        <v>116</v>
      </c>
      <c r="E157" s="190" t="s">
        <v>116</v>
      </c>
      <c r="F157" s="69" t="s">
        <v>280</v>
      </c>
      <c r="G157" s="190" t="s">
        <v>116</v>
      </c>
      <c r="H157" s="67" t="s">
        <v>116</v>
      </c>
      <c r="I157" s="193" t="s">
        <v>116</v>
      </c>
      <c r="J157" s="62" t="s">
        <v>116</v>
      </c>
      <c r="K157" s="65" t="s">
        <v>199</v>
      </c>
      <c r="L157" s="65">
        <f t="shared" si="4"/>
        <v>23086.429</v>
      </c>
      <c r="M157" s="215">
        <v>21596.978999999999</v>
      </c>
      <c r="N157" s="259">
        <f>N162</f>
        <v>0</v>
      </c>
      <c r="O157" s="264">
        <v>1489.45</v>
      </c>
      <c r="P157" s="261">
        <v>0</v>
      </c>
    </row>
    <row r="158" spans="2:20" ht="52.5" customHeight="1" x14ac:dyDescent="0.25">
      <c r="B158" s="62" t="s">
        <v>172</v>
      </c>
      <c r="C158" s="67" t="s">
        <v>295</v>
      </c>
      <c r="D158" s="67" t="s">
        <v>533</v>
      </c>
      <c r="E158" s="190" t="s">
        <v>411</v>
      </c>
      <c r="F158" s="70" t="s">
        <v>410</v>
      </c>
      <c r="G158" s="75" t="s">
        <v>412</v>
      </c>
      <c r="H158" s="67" t="s">
        <v>240</v>
      </c>
      <c r="I158" s="193">
        <v>2</v>
      </c>
      <c r="J158" s="62" t="s">
        <v>363</v>
      </c>
      <c r="K158" s="65" t="s">
        <v>199</v>
      </c>
      <c r="L158" s="65">
        <f t="shared" si="4"/>
        <v>15884.477999999999</v>
      </c>
      <c r="M158" s="77">
        <f>15408.749+475.729</f>
        <v>15884.477999999999</v>
      </c>
      <c r="N158" s="79">
        <v>0</v>
      </c>
      <c r="O158" s="200">
        <v>0</v>
      </c>
      <c r="P158" s="217"/>
    </row>
    <row r="159" spans="2:20" ht="52.5" customHeight="1" x14ac:dyDescent="0.25">
      <c r="B159" s="62" t="s">
        <v>172</v>
      </c>
      <c r="C159" s="67" t="s">
        <v>295</v>
      </c>
      <c r="D159" s="67" t="s">
        <v>533</v>
      </c>
      <c r="E159" s="190" t="s">
        <v>411</v>
      </c>
      <c r="F159" s="71" t="s">
        <v>551</v>
      </c>
      <c r="G159" s="75" t="s">
        <v>552</v>
      </c>
      <c r="H159" s="67" t="s">
        <v>240</v>
      </c>
      <c r="I159" s="193" t="s">
        <v>556</v>
      </c>
      <c r="J159" s="62" t="s">
        <v>363</v>
      </c>
      <c r="K159" s="65"/>
      <c r="L159" s="65">
        <f t="shared" si="4"/>
        <v>640.5</v>
      </c>
      <c r="M159" s="77">
        <v>640.5</v>
      </c>
      <c r="N159" s="79">
        <v>0</v>
      </c>
      <c r="O159" s="200">
        <v>0</v>
      </c>
      <c r="P159" s="203"/>
    </row>
    <row r="160" spans="2:20" ht="41.25" customHeight="1" x14ac:dyDescent="0.25">
      <c r="B160" s="62" t="s">
        <v>172</v>
      </c>
      <c r="C160" s="67" t="s">
        <v>295</v>
      </c>
      <c r="D160" s="185">
        <v>27302165</v>
      </c>
      <c r="E160" s="190" t="s">
        <v>422</v>
      </c>
      <c r="F160" s="71" t="s">
        <v>485</v>
      </c>
      <c r="G160" s="75" t="s">
        <v>486</v>
      </c>
      <c r="H160" s="67" t="s">
        <v>240</v>
      </c>
      <c r="I160" s="193">
        <v>1</v>
      </c>
      <c r="J160" s="62" t="s">
        <v>364</v>
      </c>
      <c r="K160" s="65"/>
      <c r="L160" s="65">
        <f t="shared" si="4"/>
        <v>258</v>
      </c>
      <c r="M160" s="77">
        <v>258</v>
      </c>
      <c r="N160" s="79">
        <v>0</v>
      </c>
      <c r="O160" s="200">
        <v>0</v>
      </c>
      <c r="P160" s="203"/>
    </row>
    <row r="161" spans="2:16" ht="41.25" customHeight="1" thickBot="1" x14ac:dyDescent="0.3">
      <c r="B161" s="62" t="s">
        <v>172</v>
      </c>
      <c r="C161" s="67" t="s">
        <v>295</v>
      </c>
      <c r="D161" s="67">
        <v>27301835</v>
      </c>
      <c r="E161" s="190" t="s">
        <v>419</v>
      </c>
      <c r="F161" s="71" t="s">
        <v>644</v>
      </c>
      <c r="G161" s="75" t="s">
        <v>645</v>
      </c>
      <c r="H161" s="67" t="s">
        <v>240</v>
      </c>
      <c r="I161" s="193">
        <v>1</v>
      </c>
      <c r="J161" s="62" t="s">
        <v>363</v>
      </c>
      <c r="K161" s="65"/>
      <c r="L161" s="65"/>
      <c r="M161" s="77">
        <v>10</v>
      </c>
      <c r="N161" s="79"/>
      <c r="O161" s="200"/>
      <c r="P161" s="203"/>
    </row>
    <row r="162" spans="2:16" ht="61.5" hidden="1" customHeight="1" thickBot="1" x14ac:dyDescent="0.3">
      <c r="B162" s="62" t="s">
        <v>172</v>
      </c>
      <c r="C162" s="67" t="s">
        <v>295</v>
      </c>
      <c r="D162" s="185">
        <v>27301829</v>
      </c>
      <c r="E162" s="190" t="s">
        <v>426</v>
      </c>
      <c r="F162" s="70" t="s">
        <v>427</v>
      </c>
      <c r="G162" s="75" t="s">
        <v>428</v>
      </c>
      <c r="H162" s="67" t="s">
        <v>240</v>
      </c>
      <c r="I162" s="193">
        <v>10</v>
      </c>
      <c r="J162" s="62" t="s">
        <v>364</v>
      </c>
      <c r="K162" s="65" t="s">
        <v>199</v>
      </c>
      <c r="L162" s="65">
        <f>M162+N162+O162</f>
        <v>250</v>
      </c>
      <c r="M162" s="77">
        <v>0</v>
      </c>
      <c r="N162" s="79">
        <v>0</v>
      </c>
      <c r="O162" s="200">
        <v>250</v>
      </c>
      <c r="P162" s="203"/>
    </row>
    <row r="163" spans="2:16" ht="54.75" customHeight="1" x14ac:dyDescent="0.25">
      <c r="B163" s="1050" t="s">
        <v>173</v>
      </c>
      <c r="C163" s="1068">
        <v>40404</v>
      </c>
      <c r="D163" s="1055" t="s">
        <v>116</v>
      </c>
      <c r="E163" s="1112" t="s">
        <v>116</v>
      </c>
      <c r="F163" s="1079" t="s">
        <v>284</v>
      </c>
      <c r="G163" s="75" t="s">
        <v>221</v>
      </c>
      <c r="H163" s="67" t="s">
        <v>241</v>
      </c>
      <c r="I163" s="193" t="s">
        <v>222</v>
      </c>
      <c r="J163" s="1050" t="s">
        <v>363</v>
      </c>
      <c r="K163" s="65" t="s">
        <v>199</v>
      </c>
      <c r="L163" s="65">
        <f>L168+L218+L224+L227+L236</f>
        <v>250331.33799999999</v>
      </c>
      <c r="M163" s="1175">
        <f>M168+M218+M224+M227+M236+M249</f>
        <v>124393.97108</v>
      </c>
      <c r="N163" s="1175">
        <f>N168+N218+N224+N227+N236+N249</f>
        <v>99605.501000000004</v>
      </c>
      <c r="O163" s="1175">
        <f>O168+O218+O224+O227+O236+O249</f>
        <v>78739.774999999994</v>
      </c>
      <c r="P163" s="1175">
        <f>P168+P218+P224+P227+P236+P249</f>
        <v>81622.464999999997</v>
      </c>
    </row>
    <row r="164" spans="2:16" ht="64.5" customHeight="1" x14ac:dyDescent="0.25">
      <c r="B164" s="1023"/>
      <c r="C164" s="1069"/>
      <c r="D164" s="1053"/>
      <c r="E164" s="1100"/>
      <c r="F164" s="1080"/>
      <c r="G164" s="75" t="s">
        <v>256</v>
      </c>
      <c r="H164" s="67" t="s">
        <v>241</v>
      </c>
      <c r="I164" s="193">
        <v>15123</v>
      </c>
      <c r="J164" s="1023"/>
      <c r="K164" s="65"/>
      <c r="L164" s="65"/>
      <c r="M164" s="1147"/>
      <c r="N164" s="1147"/>
      <c r="O164" s="1147"/>
      <c r="P164" s="1147"/>
    </row>
    <row r="165" spans="2:16" ht="54" customHeight="1" x14ac:dyDescent="0.25">
      <c r="B165" s="1023"/>
      <c r="C165" s="1069"/>
      <c r="D165" s="1053"/>
      <c r="E165" s="1100"/>
      <c r="F165" s="1080"/>
      <c r="G165" s="75" t="s">
        <v>257</v>
      </c>
      <c r="H165" s="67" t="s">
        <v>242</v>
      </c>
      <c r="I165" s="193" t="s">
        <v>607</v>
      </c>
      <c r="J165" s="1023"/>
      <c r="K165" s="65"/>
      <c r="L165" s="65"/>
      <c r="M165" s="1147"/>
      <c r="N165" s="1147"/>
      <c r="O165" s="1147"/>
      <c r="P165" s="1147"/>
    </row>
    <row r="166" spans="2:16" ht="83.25" customHeight="1" x14ac:dyDescent="0.25">
      <c r="B166" s="1023"/>
      <c r="C166" s="1069"/>
      <c r="D166" s="1053"/>
      <c r="E166" s="1100"/>
      <c r="F166" s="1080"/>
      <c r="G166" s="75" t="s">
        <v>254</v>
      </c>
      <c r="H166" s="67" t="s">
        <v>240</v>
      </c>
      <c r="I166" s="193">
        <v>1</v>
      </c>
      <c r="J166" s="1023"/>
      <c r="K166" s="65"/>
      <c r="L166" s="65"/>
      <c r="M166" s="1147"/>
      <c r="N166" s="1147"/>
      <c r="O166" s="1147"/>
      <c r="P166" s="1147"/>
    </row>
    <row r="167" spans="2:16" ht="84.75" customHeight="1" thickBot="1" x14ac:dyDescent="0.3">
      <c r="B167" s="1051"/>
      <c r="C167" s="1070"/>
      <c r="D167" s="1054"/>
      <c r="E167" s="1113"/>
      <c r="F167" s="1081"/>
      <c r="G167" s="75" t="s">
        <v>527</v>
      </c>
      <c r="H167" s="67" t="s">
        <v>240</v>
      </c>
      <c r="I167" s="193">
        <v>1</v>
      </c>
      <c r="J167" s="1051"/>
      <c r="K167" s="65"/>
      <c r="L167" s="65"/>
      <c r="M167" s="1147"/>
      <c r="N167" s="1147"/>
      <c r="O167" s="1147"/>
      <c r="P167" s="1147"/>
    </row>
    <row r="168" spans="2:16" ht="68.25" customHeight="1" thickBot="1" x14ac:dyDescent="0.3">
      <c r="B168" s="62" t="s">
        <v>173</v>
      </c>
      <c r="C168" s="67">
        <v>40404</v>
      </c>
      <c r="D168" s="190">
        <v>27300364</v>
      </c>
      <c r="E168" s="190" t="s">
        <v>192</v>
      </c>
      <c r="F168" s="69" t="s">
        <v>585</v>
      </c>
      <c r="G168" s="75" t="s">
        <v>221</v>
      </c>
      <c r="H168" s="68" t="s">
        <v>241</v>
      </c>
      <c r="I168" s="193" t="s">
        <v>222</v>
      </c>
      <c r="J168" s="62" t="s">
        <v>363</v>
      </c>
      <c r="K168" s="65" t="s">
        <v>199</v>
      </c>
      <c r="L168" s="68">
        <f>M168+N168+O168</f>
        <v>6000</v>
      </c>
      <c r="M168" s="261">
        <f>SUM(M169:M197)</f>
        <v>2000</v>
      </c>
      <c r="N168" s="266">
        <f>SUM(N169:N197)</f>
        <v>2000</v>
      </c>
      <c r="O168" s="257">
        <f>SUM(O169:O197)</f>
        <v>2000</v>
      </c>
      <c r="P168" s="261">
        <v>2000</v>
      </c>
    </row>
    <row r="169" spans="2:16" ht="63" hidden="1" customHeight="1" x14ac:dyDescent="0.25">
      <c r="B169" s="62" t="s">
        <v>173</v>
      </c>
      <c r="C169" s="67">
        <v>40404</v>
      </c>
      <c r="D169" s="190">
        <v>27300364</v>
      </c>
      <c r="E169" s="190" t="s">
        <v>192</v>
      </c>
      <c r="F169" s="91" t="s">
        <v>299</v>
      </c>
      <c r="G169" s="75" t="s">
        <v>221</v>
      </c>
      <c r="H169" s="68" t="s">
        <v>241</v>
      </c>
      <c r="I169" s="193" t="s">
        <v>300</v>
      </c>
      <c r="J169" s="62" t="s">
        <v>362</v>
      </c>
      <c r="K169" s="65" t="s">
        <v>199</v>
      </c>
      <c r="L169" s="65">
        <v>0</v>
      </c>
      <c r="M169" s="210">
        <v>0</v>
      </c>
      <c r="N169" s="287">
        <v>0</v>
      </c>
      <c r="O169" s="289">
        <v>0</v>
      </c>
      <c r="P169" s="217"/>
    </row>
    <row r="170" spans="2:16" ht="63" hidden="1" customHeight="1" x14ac:dyDescent="0.25">
      <c r="B170" s="62" t="s">
        <v>173</v>
      </c>
      <c r="C170" s="67">
        <v>40404</v>
      </c>
      <c r="D170" s="190">
        <v>27300364</v>
      </c>
      <c r="E170" s="190" t="s">
        <v>192</v>
      </c>
      <c r="F170" s="91" t="s">
        <v>301</v>
      </c>
      <c r="G170" s="75" t="s">
        <v>221</v>
      </c>
      <c r="H170" s="68" t="s">
        <v>241</v>
      </c>
      <c r="I170" s="193" t="s">
        <v>302</v>
      </c>
      <c r="J170" s="62" t="s">
        <v>363</v>
      </c>
      <c r="K170" s="65" t="s">
        <v>199</v>
      </c>
      <c r="L170" s="65">
        <v>0</v>
      </c>
      <c r="M170" s="77">
        <v>0</v>
      </c>
      <c r="N170" s="79">
        <v>0</v>
      </c>
      <c r="O170" s="200">
        <v>0</v>
      </c>
      <c r="P170" s="203"/>
    </row>
    <row r="171" spans="2:16" ht="63" hidden="1" customHeight="1" x14ac:dyDescent="0.25">
      <c r="B171" s="62" t="s">
        <v>173</v>
      </c>
      <c r="C171" s="67">
        <v>40404</v>
      </c>
      <c r="D171" s="190">
        <v>27300364</v>
      </c>
      <c r="E171" s="190" t="s">
        <v>192</v>
      </c>
      <c r="F171" s="92" t="s">
        <v>303</v>
      </c>
      <c r="G171" s="75" t="s">
        <v>221</v>
      </c>
      <c r="H171" s="68" t="s">
        <v>241</v>
      </c>
      <c r="I171" s="193" t="s">
        <v>304</v>
      </c>
      <c r="J171" s="62" t="s">
        <v>362</v>
      </c>
      <c r="K171" s="65" t="s">
        <v>199</v>
      </c>
      <c r="L171" s="65">
        <v>0</v>
      </c>
      <c r="M171" s="77">
        <v>0</v>
      </c>
      <c r="N171" s="79">
        <v>0</v>
      </c>
      <c r="O171" s="200">
        <v>0</v>
      </c>
      <c r="P171" s="203"/>
    </row>
    <row r="172" spans="2:16" ht="63" hidden="1" customHeight="1" x14ac:dyDescent="0.25">
      <c r="B172" s="62" t="s">
        <v>173</v>
      </c>
      <c r="C172" s="67">
        <v>40404</v>
      </c>
      <c r="D172" s="190">
        <v>27300364</v>
      </c>
      <c r="E172" s="190" t="s">
        <v>192</v>
      </c>
      <c r="F172" s="70" t="s">
        <v>305</v>
      </c>
      <c r="G172" s="75" t="s">
        <v>221</v>
      </c>
      <c r="H172" s="68" t="s">
        <v>241</v>
      </c>
      <c r="I172" s="193" t="s">
        <v>306</v>
      </c>
      <c r="J172" s="62" t="s">
        <v>363</v>
      </c>
      <c r="K172" s="65" t="s">
        <v>199</v>
      </c>
      <c r="L172" s="65">
        <v>0</v>
      </c>
      <c r="M172" s="77">
        <v>0</v>
      </c>
      <c r="N172" s="79">
        <v>0</v>
      </c>
      <c r="O172" s="200">
        <v>0</v>
      </c>
      <c r="P172" s="203"/>
    </row>
    <row r="173" spans="2:16" ht="63" hidden="1" customHeight="1" x14ac:dyDescent="0.25">
      <c r="B173" s="62" t="s">
        <v>173</v>
      </c>
      <c r="C173" s="67">
        <v>40404</v>
      </c>
      <c r="D173" s="190">
        <v>27300364</v>
      </c>
      <c r="E173" s="190" t="s">
        <v>192</v>
      </c>
      <c r="F173" s="70" t="s">
        <v>307</v>
      </c>
      <c r="G173" s="75" t="s">
        <v>221</v>
      </c>
      <c r="H173" s="68" t="s">
        <v>241</v>
      </c>
      <c r="I173" s="193" t="s">
        <v>308</v>
      </c>
      <c r="J173" s="62" t="s">
        <v>364</v>
      </c>
      <c r="K173" s="65" t="s">
        <v>199</v>
      </c>
      <c r="L173" s="65">
        <v>0</v>
      </c>
      <c r="M173" s="77">
        <v>0</v>
      </c>
      <c r="N173" s="79">
        <v>0</v>
      </c>
      <c r="O173" s="200">
        <v>0</v>
      </c>
      <c r="P173" s="203"/>
    </row>
    <row r="174" spans="2:16" ht="50.25" customHeight="1" x14ac:dyDescent="0.25">
      <c r="B174" s="62" t="s">
        <v>173</v>
      </c>
      <c r="C174" s="67">
        <v>40404</v>
      </c>
      <c r="D174" s="190">
        <v>27300364</v>
      </c>
      <c r="E174" s="190" t="s">
        <v>192</v>
      </c>
      <c r="F174" s="70" t="s">
        <v>309</v>
      </c>
      <c r="G174" s="75" t="s">
        <v>221</v>
      </c>
      <c r="H174" s="68" t="s">
        <v>241</v>
      </c>
      <c r="I174" s="193" t="s">
        <v>310</v>
      </c>
      <c r="J174" s="62" t="s">
        <v>363</v>
      </c>
      <c r="K174" s="65" t="s">
        <v>199</v>
      </c>
      <c r="L174" s="65">
        <f>M174+N174+O174</f>
        <v>1650</v>
      </c>
      <c r="M174" s="77">
        <v>550</v>
      </c>
      <c r="N174" s="79">
        <v>550</v>
      </c>
      <c r="O174" s="200">
        <v>550</v>
      </c>
      <c r="P174" s="236">
        <v>550</v>
      </c>
    </row>
    <row r="175" spans="2:16" ht="63" hidden="1" customHeight="1" x14ac:dyDescent="0.25">
      <c r="B175" s="62" t="s">
        <v>173</v>
      </c>
      <c r="C175" s="67">
        <v>40404</v>
      </c>
      <c r="D175" s="190">
        <v>27300364</v>
      </c>
      <c r="E175" s="190" t="s">
        <v>192</v>
      </c>
      <c r="F175" s="70" t="s">
        <v>311</v>
      </c>
      <c r="G175" s="75" t="s">
        <v>221</v>
      </c>
      <c r="H175" s="68" t="s">
        <v>241</v>
      </c>
      <c r="I175" s="193" t="s">
        <v>312</v>
      </c>
      <c r="J175" s="62" t="s">
        <v>362</v>
      </c>
      <c r="K175" s="65" t="s">
        <v>199</v>
      </c>
      <c r="L175" s="65">
        <v>0</v>
      </c>
      <c r="M175" s="77">
        <v>0</v>
      </c>
      <c r="N175" s="79">
        <v>0</v>
      </c>
      <c r="O175" s="200">
        <v>0</v>
      </c>
      <c r="P175" s="236">
        <v>0</v>
      </c>
    </row>
    <row r="176" spans="2:16" ht="63" hidden="1" customHeight="1" x14ac:dyDescent="0.25">
      <c r="B176" s="62" t="s">
        <v>173</v>
      </c>
      <c r="C176" s="67">
        <v>40404</v>
      </c>
      <c r="D176" s="190">
        <v>27300364</v>
      </c>
      <c r="E176" s="190" t="s">
        <v>192</v>
      </c>
      <c r="F176" s="70" t="s">
        <v>313</v>
      </c>
      <c r="G176" s="75" t="s">
        <v>221</v>
      </c>
      <c r="H176" s="68" t="s">
        <v>241</v>
      </c>
      <c r="I176" s="193" t="s">
        <v>314</v>
      </c>
      <c r="J176" s="62" t="s">
        <v>364</v>
      </c>
      <c r="K176" s="65" t="s">
        <v>199</v>
      </c>
      <c r="L176" s="65">
        <v>0</v>
      </c>
      <c r="M176" s="77">
        <v>0</v>
      </c>
      <c r="N176" s="79">
        <v>0</v>
      </c>
      <c r="O176" s="200">
        <v>0</v>
      </c>
      <c r="P176" s="236">
        <v>0</v>
      </c>
    </row>
    <row r="177" spans="2:16" ht="63" hidden="1" customHeight="1" x14ac:dyDescent="0.25">
      <c r="B177" s="62" t="s">
        <v>173</v>
      </c>
      <c r="C177" s="67">
        <v>40404</v>
      </c>
      <c r="D177" s="190">
        <v>27300364</v>
      </c>
      <c r="E177" s="190" t="s">
        <v>192</v>
      </c>
      <c r="F177" s="70" t="s">
        <v>315</v>
      </c>
      <c r="G177" s="75" t="s">
        <v>221</v>
      </c>
      <c r="H177" s="68" t="s">
        <v>241</v>
      </c>
      <c r="I177" s="193" t="s">
        <v>316</v>
      </c>
      <c r="J177" s="62" t="s">
        <v>364</v>
      </c>
      <c r="K177" s="65" t="s">
        <v>199</v>
      </c>
      <c r="L177" s="65">
        <v>0</v>
      </c>
      <c r="M177" s="77">
        <v>0</v>
      </c>
      <c r="N177" s="79">
        <v>0</v>
      </c>
      <c r="O177" s="200">
        <v>0</v>
      </c>
      <c r="P177" s="236">
        <v>0</v>
      </c>
    </row>
    <row r="178" spans="2:16" ht="63" hidden="1" customHeight="1" x14ac:dyDescent="0.25">
      <c r="B178" s="62" t="s">
        <v>173</v>
      </c>
      <c r="C178" s="67">
        <v>40404</v>
      </c>
      <c r="D178" s="190">
        <v>27300364</v>
      </c>
      <c r="E178" s="190" t="s">
        <v>192</v>
      </c>
      <c r="F178" s="70" t="s">
        <v>317</v>
      </c>
      <c r="G178" s="75" t="s">
        <v>221</v>
      </c>
      <c r="H178" s="68" t="s">
        <v>241</v>
      </c>
      <c r="I178" s="193" t="s">
        <v>318</v>
      </c>
      <c r="J178" s="62" t="s">
        <v>363</v>
      </c>
      <c r="K178" s="65" t="s">
        <v>199</v>
      </c>
      <c r="L178" s="65">
        <v>0</v>
      </c>
      <c r="M178" s="77">
        <v>0</v>
      </c>
      <c r="N178" s="79">
        <v>0</v>
      </c>
      <c r="O178" s="200">
        <v>0</v>
      </c>
      <c r="P178" s="236">
        <v>0</v>
      </c>
    </row>
    <row r="179" spans="2:16" ht="78.75" hidden="1" customHeight="1" x14ac:dyDescent="0.25">
      <c r="B179" s="62" t="s">
        <v>173</v>
      </c>
      <c r="C179" s="67">
        <v>40404</v>
      </c>
      <c r="D179" s="190">
        <v>27300364</v>
      </c>
      <c r="E179" s="190" t="s">
        <v>192</v>
      </c>
      <c r="F179" s="70" t="s">
        <v>319</v>
      </c>
      <c r="G179" s="75" t="s">
        <v>221</v>
      </c>
      <c r="H179" s="68" t="s">
        <v>241</v>
      </c>
      <c r="I179" s="193" t="s">
        <v>320</v>
      </c>
      <c r="J179" s="62" t="s">
        <v>364</v>
      </c>
      <c r="K179" s="65" t="s">
        <v>199</v>
      </c>
      <c r="L179" s="65">
        <v>0</v>
      </c>
      <c r="M179" s="77">
        <v>0</v>
      </c>
      <c r="N179" s="79">
        <v>0</v>
      </c>
      <c r="O179" s="200">
        <v>0</v>
      </c>
      <c r="P179" s="236">
        <v>0</v>
      </c>
    </row>
    <row r="180" spans="2:16" ht="63" hidden="1" customHeight="1" x14ac:dyDescent="0.25">
      <c r="B180" s="62" t="s">
        <v>173</v>
      </c>
      <c r="C180" s="67">
        <v>40404</v>
      </c>
      <c r="D180" s="190">
        <v>27300364</v>
      </c>
      <c r="E180" s="190" t="s">
        <v>192</v>
      </c>
      <c r="F180" s="70" t="s">
        <v>321</v>
      </c>
      <c r="G180" s="75" t="s">
        <v>221</v>
      </c>
      <c r="H180" s="68" t="s">
        <v>241</v>
      </c>
      <c r="I180" s="193" t="s">
        <v>322</v>
      </c>
      <c r="J180" s="62" t="s">
        <v>363</v>
      </c>
      <c r="K180" s="65" t="s">
        <v>199</v>
      </c>
      <c r="L180" s="65">
        <v>0</v>
      </c>
      <c r="M180" s="77">
        <v>0</v>
      </c>
      <c r="N180" s="79">
        <v>0</v>
      </c>
      <c r="O180" s="200">
        <v>0</v>
      </c>
      <c r="P180" s="236">
        <v>0</v>
      </c>
    </row>
    <row r="181" spans="2:16" ht="50.25" customHeight="1" x14ac:dyDescent="0.25">
      <c r="B181" s="62" t="s">
        <v>173</v>
      </c>
      <c r="C181" s="67">
        <v>40404</v>
      </c>
      <c r="D181" s="190">
        <v>27300364</v>
      </c>
      <c r="E181" s="190" t="s">
        <v>192</v>
      </c>
      <c r="F181" s="70" t="s">
        <v>323</v>
      </c>
      <c r="G181" s="75" t="s">
        <v>221</v>
      </c>
      <c r="H181" s="68" t="s">
        <v>241</v>
      </c>
      <c r="I181" s="193" t="s">
        <v>324</v>
      </c>
      <c r="J181" s="62" t="s">
        <v>363</v>
      </c>
      <c r="K181" s="65" t="s">
        <v>199</v>
      </c>
      <c r="L181" s="65">
        <f>M181+N181+O181</f>
        <v>840</v>
      </c>
      <c r="M181" s="77">
        <v>280</v>
      </c>
      <c r="N181" s="79">
        <v>280</v>
      </c>
      <c r="O181" s="200">
        <v>280</v>
      </c>
      <c r="P181" s="236">
        <v>280</v>
      </c>
    </row>
    <row r="182" spans="2:16" ht="51.75" customHeight="1" x14ac:dyDescent="0.25">
      <c r="B182" s="62" t="s">
        <v>173</v>
      </c>
      <c r="C182" s="67">
        <v>40404</v>
      </c>
      <c r="D182" s="190">
        <v>27300364</v>
      </c>
      <c r="E182" s="190" t="s">
        <v>192</v>
      </c>
      <c r="F182" s="70" t="s">
        <v>325</v>
      </c>
      <c r="G182" s="75" t="s">
        <v>221</v>
      </c>
      <c r="H182" s="68" t="s">
        <v>241</v>
      </c>
      <c r="I182" s="193" t="s">
        <v>326</v>
      </c>
      <c r="J182" s="62" t="s">
        <v>363</v>
      </c>
      <c r="K182" s="65" t="s">
        <v>199</v>
      </c>
      <c r="L182" s="65">
        <f>M182+N182+O182</f>
        <v>1050</v>
      </c>
      <c r="M182" s="77">
        <v>350</v>
      </c>
      <c r="N182" s="79">
        <v>350</v>
      </c>
      <c r="O182" s="200">
        <v>350</v>
      </c>
      <c r="P182" s="236">
        <v>350</v>
      </c>
    </row>
    <row r="183" spans="2:16" ht="63" hidden="1" customHeight="1" x14ac:dyDescent="0.25">
      <c r="B183" s="62" t="s">
        <v>173</v>
      </c>
      <c r="C183" s="67">
        <v>40404</v>
      </c>
      <c r="D183" s="190">
        <v>27300364</v>
      </c>
      <c r="E183" s="190" t="s">
        <v>192</v>
      </c>
      <c r="F183" s="70" t="s">
        <v>327</v>
      </c>
      <c r="G183" s="75" t="s">
        <v>221</v>
      </c>
      <c r="H183" s="68" t="s">
        <v>241</v>
      </c>
      <c r="I183" s="193" t="s">
        <v>328</v>
      </c>
      <c r="J183" s="62" t="s">
        <v>364</v>
      </c>
      <c r="K183" s="65" t="s">
        <v>199</v>
      </c>
      <c r="L183" s="65">
        <v>0</v>
      </c>
      <c r="M183" s="77">
        <v>0</v>
      </c>
      <c r="N183" s="79">
        <v>0</v>
      </c>
      <c r="O183" s="200">
        <v>0</v>
      </c>
      <c r="P183" s="236">
        <v>0</v>
      </c>
    </row>
    <row r="184" spans="2:16" ht="63" hidden="1" customHeight="1" x14ac:dyDescent="0.25">
      <c r="B184" s="62" t="s">
        <v>173</v>
      </c>
      <c r="C184" s="67">
        <v>40404</v>
      </c>
      <c r="D184" s="190">
        <v>27300364</v>
      </c>
      <c r="E184" s="190" t="s">
        <v>192</v>
      </c>
      <c r="F184" s="70" t="s">
        <v>329</v>
      </c>
      <c r="G184" s="75" t="s">
        <v>221</v>
      </c>
      <c r="H184" s="68" t="s">
        <v>241</v>
      </c>
      <c r="I184" s="193" t="s">
        <v>330</v>
      </c>
      <c r="J184" s="62" t="s">
        <v>364</v>
      </c>
      <c r="K184" s="65" t="s">
        <v>199</v>
      </c>
      <c r="L184" s="65">
        <v>0</v>
      </c>
      <c r="M184" s="77">
        <v>0</v>
      </c>
      <c r="N184" s="79">
        <v>0</v>
      </c>
      <c r="O184" s="200">
        <v>0</v>
      </c>
      <c r="P184" s="236">
        <v>0</v>
      </c>
    </row>
    <row r="185" spans="2:16" ht="63" hidden="1" customHeight="1" x14ac:dyDescent="0.25">
      <c r="B185" s="62" t="s">
        <v>173</v>
      </c>
      <c r="C185" s="67">
        <v>40404</v>
      </c>
      <c r="D185" s="190">
        <v>27300364</v>
      </c>
      <c r="E185" s="190" t="s">
        <v>192</v>
      </c>
      <c r="F185" s="70" t="s">
        <v>331</v>
      </c>
      <c r="G185" s="75" t="s">
        <v>221</v>
      </c>
      <c r="H185" s="68" t="s">
        <v>241</v>
      </c>
      <c r="I185" s="193" t="s">
        <v>332</v>
      </c>
      <c r="J185" s="62" t="s">
        <v>363</v>
      </c>
      <c r="K185" s="65" t="s">
        <v>199</v>
      </c>
      <c r="L185" s="65">
        <v>0</v>
      </c>
      <c r="M185" s="77">
        <v>0</v>
      </c>
      <c r="N185" s="79">
        <v>0</v>
      </c>
      <c r="O185" s="200">
        <v>0</v>
      </c>
      <c r="P185" s="236">
        <v>0</v>
      </c>
    </row>
    <row r="186" spans="2:16" ht="63" hidden="1" customHeight="1" x14ac:dyDescent="0.25">
      <c r="B186" s="62" t="s">
        <v>173</v>
      </c>
      <c r="C186" s="67">
        <v>40404</v>
      </c>
      <c r="D186" s="190">
        <v>27300364</v>
      </c>
      <c r="E186" s="190" t="s">
        <v>192</v>
      </c>
      <c r="F186" s="70" t="s">
        <v>333</v>
      </c>
      <c r="G186" s="75" t="s">
        <v>221</v>
      </c>
      <c r="H186" s="68" t="s">
        <v>241</v>
      </c>
      <c r="I186" s="193" t="s">
        <v>334</v>
      </c>
      <c r="J186" s="62" t="s">
        <v>364</v>
      </c>
      <c r="K186" s="65" t="s">
        <v>199</v>
      </c>
      <c r="L186" s="65">
        <v>0</v>
      </c>
      <c r="M186" s="77">
        <v>0</v>
      </c>
      <c r="N186" s="79">
        <v>0</v>
      </c>
      <c r="O186" s="200">
        <v>0</v>
      </c>
      <c r="P186" s="236">
        <v>0</v>
      </c>
    </row>
    <row r="187" spans="2:16" ht="63" hidden="1" customHeight="1" x14ac:dyDescent="0.25">
      <c r="B187" s="62" t="s">
        <v>173</v>
      </c>
      <c r="C187" s="67">
        <v>40404</v>
      </c>
      <c r="D187" s="190">
        <v>27300364</v>
      </c>
      <c r="E187" s="190" t="s">
        <v>192</v>
      </c>
      <c r="F187" s="70" t="s">
        <v>335</v>
      </c>
      <c r="G187" s="75" t="s">
        <v>221</v>
      </c>
      <c r="H187" s="68" t="s">
        <v>241</v>
      </c>
      <c r="I187" s="193" t="s">
        <v>336</v>
      </c>
      <c r="J187" s="62" t="s">
        <v>362</v>
      </c>
      <c r="K187" s="65" t="s">
        <v>199</v>
      </c>
      <c r="L187" s="65">
        <v>0</v>
      </c>
      <c r="M187" s="77">
        <v>0</v>
      </c>
      <c r="N187" s="79">
        <v>0</v>
      </c>
      <c r="O187" s="200">
        <v>0</v>
      </c>
      <c r="P187" s="236">
        <v>0</v>
      </c>
    </row>
    <row r="188" spans="2:16" ht="63" hidden="1" customHeight="1" x14ac:dyDescent="0.25">
      <c r="B188" s="62" t="s">
        <v>173</v>
      </c>
      <c r="C188" s="67">
        <v>40404</v>
      </c>
      <c r="D188" s="190">
        <v>27300364</v>
      </c>
      <c r="E188" s="190" t="s">
        <v>192</v>
      </c>
      <c r="F188" s="70" t="s">
        <v>337</v>
      </c>
      <c r="G188" s="75" t="s">
        <v>221</v>
      </c>
      <c r="H188" s="68" t="s">
        <v>241</v>
      </c>
      <c r="I188" s="193" t="s">
        <v>338</v>
      </c>
      <c r="J188" s="62" t="s">
        <v>363</v>
      </c>
      <c r="K188" s="65" t="s">
        <v>199</v>
      </c>
      <c r="L188" s="65">
        <v>0</v>
      </c>
      <c r="M188" s="77">
        <v>0</v>
      </c>
      <c r="N188" s="79">
        <v>0</v>
      </c>
      <c r="O188" s="200">
        <v>0</v>
      </c>
      <c r="P188" s="236">
        <v>0</v>
      </c>
    </row>
    <row r="189" spans="2:16" ht="63" hidden="1" customHeight="1" x14ac:dyDescent="0.25">
      <c r="B189" s="62" t="s">
        <v>173</v>
      </c>
      <c r="C189" s="67">
        <v>40404</v>
      </c>
      <c r="D189" s="190">
        <v>27300364</v>
      </c>
      <c r="E189" s="190" t="s">
        <v>192</v>
      </c>
      <c r="F189" s="70" t="s">
        <v>339</v>
      </c>
      <c r="G189" s="75" t="s">
        <v>221</v>
      </c>
      <c r="H189" s="68" t="s">
        <v>241</v>
      </c>
      <c r="I189" s="193" t="s">
        <v>340</v>
      </c>
      <c r="J189" s="62" t="s">
        <v>362</v>
      </c>
      <c r="K189" s="65" t="s">
        <v>199</v>
      </c>
      <c r="L189" s="65">
        <v>0</v>
      </c>
      <c r="M189" s="77">
        <v>0</v>
      </c>
      <c r="N189" s="79">
        <v>0</v>
      </c>
      <c r="O189" s="200">
        <v>0</v>
      </c>
      <c r="P189" s="236">
        <v>0</v>
      </c>
    </row>
    <row r="190" spans="2:16" ht="54" customHeight="1" x14ac:dyDescent="0.25">
      <c r="B190" s="62" t="s">
        <v>173</v>
      </c>
      <c r="C190" s="67">
        <v>40404</v>
      </c>
      <c r="D190" s="190">
        <v>27300364</v>
      </c>
      <c r="E190" s="190" t="s">
        <v>192</v>
      </c>
      <c r="F190" s="70" t="s">
        <v>341</v>
      </c>
      <c r="G190" s="75" t="s">
        <v>221</v>
      </c>
      <c r="H190" s="68" t="s">
        <v>241</v>
      </c>
      <c r="I190" s="193" t="s">
        <v>342</v>
      </c>
      <c r="J190" s="62" t="s">
        <v>363</v>
      </c>
      <c r="K190" s="65" t="s">
        <v>199</v>
      </c>
      <c r="L190" s="65">
        <f>M190+N190+O190</f>
        <v>2460</v>
      </c>
      <c r="M190" s="77">
        <v>820</v>
      </c>
      <c r="N190" s="79">
        <v>820</v>
      </c>
      <c r="O190" s="200">
        <v>820</v>
      </c>
      <c r="P190" s="236">
        <v>820</v>
      </c>
    </row>
    <row r="191" spans="2:16" ht="63" hidden="1" customHeight="1" x14ac:dyDescent="0.25">
      <c r="B191" s="62" t="s">
        <v>173</v>
      </c>
      <c r="C191" s="67">
        <v>40404</v>
      </c>
      <c r="D191" s="190">
        <v>27300364</v>
      </c>
      <c r="E191" s="190" t="s">
        <v>192</v>
      </c>
      <c r="F191" s="70" t="s">
        <v>343</v>
      </c>
      <c r="G191" s="75" t="s">
        <v>221</v>
      </c>
      <c r="H191" s="67" t="s">
        <v>74</v>
      </c>
      <c r="I191" s="193" t="s">
        <v>344</v>
      </c>
      <c r="J191" s="62" t="s">
        <v>363</v>
      </c>
      <c r="K191" s="65" t="s">
        <v>199</v>
      </c>
      <c r="L191" s="65">
        <v>0</v>
      </c>
      <c r="M191" s="77">
        <v>0</v>
      </c>
      <c r="N191" s="79">
        <v>0</v>
      </c>
      <c r="O191" s="200">
        <v>0</v>
      </c>
      <c r="P191" s="203"/>
    </row>
    <row r="192" spans="2:16" ht="63" hidden="1" customHeight="1" x14ac:dyDescent="0.25">
      <c r="B192" s="62" t="s">
        <v>173</v>
      </c>
      <c r="C192" s="67">
        <v>40404</v>
      </c>
      <c r="D192" s="190">
        <v>27300364</v>
      </c>
      <c r="E192" s="190" t="s">
        <v>192</v>
      </c>
      <c r="F192" s="70" t="s">
        <v>345</v>
      </c>
      <c r="G192" s="75" t="s">
        <v>221</v>
      </c>
      <c r="H192" s="67" t="s">
        <v>74</v>
      </c>
      <c r="I192" s="193" t="s">
        <v>346</v>
      </c>
      <c r="J192" s="62" t="s">
        <v>364</v>
      </c>
      <c r="K192" s="65" t="s">
        <v>199</v>
      </c>
      <c r="L192" s="65">
        <v>0</v>
      </c>
      <c r="M192" s="77">
        <v>0</v>
      </c>
      <c r="N192" s="79">
        <v>0</v>
      </c>
      <c r="O192" s="200">
        <v>0</v>
      </c>
      <c r="P192" s="203"/>
    </row>
    <row r="193" spans="2:16" ht="63" hidden="1" customHeight="1" x14ac:dyDescent="0.25">
      <c r="B193" s="62" t="s">
        <v>173</v>
      </c>
      <c r="C193" s="67">
        <v>40404</v>
      </c>
      <c r="D193" s="190">
        <v>27300364</v>
      </c>
      <c r="E193" s="190" t="s">
        <v>192</v>
      </c>
      <c r="F193" s="70" t="s">
        <v>347</v>
      </c>
      <c r="G193" s="75" t="s">
        <v>221</v>
      </c>
      <c r="H193" s="67" t="s">
        <v>74</v>
      </c>
      <c r="I193" s="193" t="s">
        <v>348</v>
      </c>
      <c r="J193" s="62" t="s">
        <v>363</v>
      </c>
      <c r="K193" s="65" t="s">
        <v>199</v>
      </c>
      <c r="L193" s="65">
        <v>0</v>
      </c>
      <c r="M193" s="77">
        <v>0</v>
      </c>
      <c r="N193" s="79">
        <v>0</v>
      </c>
      <c r="O193" s="200">
        <v>0</v>
      </c>
      <c r="P193" s="203"/>
    </row>
    <row r="194" spans="2:16" ht="63" hidden="1" customHeight="1" x14ac:dyDescent="0.25">
      <c r="B194" s="62" t="s">
        <v>173</v>
      </c>
      <c r="C194" s="67">
        <v>40404</v>
      </c>
      <c r="D194" s="190">
        <v>27300364</v>
      </c>
      <c r="E194" s="190" t="s">
        <v>192</v>
      </c>
      <c r="F194" s="70" t="s">
        <v>349</v>
      </c>
      <c r="G194" s="75" t="s">
        <v>221</v>
      </c>
      <c r="H194" s="67" t="s">
        <v>74</v>
      </c>
      <c r="I194" s="193" t="s">
        <v>350</v>
      </c>
      <c r="J194" s="62" t="s">
        <v>363</v>
      </c>
      <c r="K194" s="65" t="s">
        <v>199</v>
      </c>
      <c r="L194" s="65">
        <v>0</v>
      </c>
      <c r="M194" s="77">
        <v>0</v>
      </c>
      <c r="N194" s="79">
        <v>0</v>
      </c>
      <c r="O194" s="200">
        <v>0</v>
      </c>
      <c r="P194" s="203"/>
    </row>
    <row r="195" spans="2:16" ht="63" hidden="1" customHeight="1" x14ac:dyDescent="0.25">
      <c r="B195" s="62" t="s">
        <v>173</v>
      </c>
      <c r="C195" s="67">
        <v>40404</v>
      </c>
      <c r="D195" s="190">
        <v>27300364</v>
      </c>
      <c r="E195" s="190" t="s">
        <v>192</v>
      </c>
      <c r="F195" s="70" t="s">
        <v>351</v>
      </c>
      <c r="G195" s="75" t="s">
        <v>221</v>
      </c>
      <c r="H195" s="67" t="s">
        <v>74</v>
      </c>
      <c r="I195" s="193" t="s">
        <v>352</v>
      </c>
      <c r="J195" s="62" t="s">
        <v>362</v>
      </c>
      <c r="K195" s="65" t="s">
        <v>199</v>
      </c>
      <c r="L195" s="65">
        <v>0</v>
      </c>
      <c r="M195" s="77">
        <v>0</v>
      </c>
      <c r="N195" s="79">
        <v>0</v>
      </c>
      <c r="O195" s="200">
        <v>0</v>
      </c>
      <c r="P195" s="203"/>
    </row>
    <row r="196" spans="2:16" ht="63" hidden="1" customHeight="1" x14ac:dyDescent="0.25">
      <c r="B196" s="62" t="s">
        <v>173</v>
      </c>
      <c r="C196" s="67">
        <v>40404</v>
      </c>
      <c r="D196" s="190">
        <v>27300364</v>
      </c>
      <c r="E196" s="190" t="s">
        <v>192</v>
      </c>
      <c r="F196" s="70" t="s">
        <v>353</v>
      </c>
      <c r="G196" s="75" t="s">
        <v>221</v>
      </c>
      <c r="H196" s="67" t="s">
        <v>74</v>
      </c>
      <c r="I196" s="193" t="s">
        <v>354</v>
      </c>
      <c r="J196" s="62" t="s">
        <v>364</v>
      </c>
      <c r="K196" s="65" t="s">
        <v>199</v>
      </c>
      <c r="L196" s="65">
        <v>0</v>
      </c>
      <c r="M196" s="77">
        <v>0</v>
      </c>
      <c r="N196" s="79">
        <v>0</v>
      </c>
      <c r="O196" s="200">
        <v>0</v>
      </c>
      <c r="P196" s="203"/>
    </row>
    <row r="197" spans="2:16" ht="63" hidden="1" customHeight="1" x14ac:dyDescent="0.25">
      <c r="B197" s="62" t="s">
        <v>173</v>
      </c>
      <c r="C197" s="67">
        <v>40404</v>
      </c>
      <c r="D197" s="190">
        <v>27300364</v>
      </c>
      <c r="E197" s="190" t="s">
        <v>192</v>
      </c>
      <c r="F197" s="70" t="s">
        <v>355</v>
      </c>
      <c r="G197" s="75" t="s">
        <v>221</v>
      </c>
      <c r="H197" s="67" t="s">
        <v>74</v>
      </c>
      <c r="I197" s="193" t="s">
        <v>356</v>
      </c>
      <c r="J197" s="62" t="s">
        <v>364</v>
      </c>
      <c r="K197" s="65" t="s">
        <v>199</v>
      </c>
      <c r="L197" s="65">
        <v>0</v>
      </c>
      <c r="M197" s="77">
        <v>0</v>
      </c>
      <c r="N197" s="79">
        <v>0</v>
      </c>
      <c r="O197" s="200">
        <v>0</v>
      </c>
      <c r="P197" s="203"/>
    </row>
    <row r="198" spans="2:16" ht="15.75" hidden="1" customHeight="1" x14ac:dyDescent="0.25">
      <c r="B198" s="62"/>
      <c r="C198" s="67"/>
      <c r="D198" s="190"/>
      <c r="E198" s="190"/>
      <c r="F198" s="69"/>
      <c r="G198" s="75"/>
      <c r="H198" s="191"/>
      <c r="I198" s="193"/>
      <c r="J198" s="62"/>
      <c r="K198" s="65"/>
      <c r="L198" s="65"/>
      <c r="M198" s="77"/>
      <c r="N198" s="78"/>
      <c r="O198" s="201"/>
      <c r="P198" s="203"/>
    </row>
    <row r="199" spans="2:16" ht="15.75" hidden="1" customHeight="1" x14ac:dyDescent="0.25">
      <c r="B199" s="62"/>
      <c r="C199" s="67"/>
      <c r="D199" s="190"/>
      <c r="E199" s="190"/>
      <c r="F199" s="69"/>
      <c r="G199" s="75"/>
      <c r="H199" s="191"/>
      <c r="I199" s="193"/>
      <c r="J199" s="62"/>
      <c r="K199" s="65"/>
      <c r="L199" s="65"/>
      <c r="M199" s="77"/>
      <c r="N199" s="78"/>
      <c r="O199" s="201"/>
      <c r="P199" s="203"/>
    </row>
    <row r="200" spans="2:16" ht="15.75" hidden="1" customHeight="1" x14ac:dyDescent="0.25">
      <c r="B200" s="62"/>
      <c r="C200" s="67"/>
      <c r="D200" s="190"/>
      <c r="E200" s="190"/>
      <c r="F200" s="69"/>
      <c r="G200" s="75"/>
      <c r="H200" s="191"/>
      <c r="I200" s="193"/>
      <c r="J200" s="62"/>
      <c r="K200" s="65"/>
      <c r="L200" s="65"/>
      <c r="M200" s="77"/>
      <c r="N200" s="78"/>
      <c r="O200" s="201"/>
      <c r="P200" s="203"/>
    </row>
    <row r="201" spans="2:16" ht="15.75" hidden="1" customHeight="1" x14ac:dyDescent="0.25">
      <c r="B201" s="62"/>
      <c r="C201" s="67"/>
      <c r="D201" s="190"/>
      <c r="E201" s="190"/>
      <c r="F201" s="69"/>
      <c r="G201" s="75"/>
      <c r="H201" s="191"/>
      <c r="I201" s="193"/>
      <c r="J201" s="62"/>
      <c r="K201" s="65"/>
      <c r="L201" s="65"/>
      <c r="M201" s="77"/>
      <c r="N201" s="78"/>
      <c r="O201" s="201"/>
      <c r="P201" s="203"/>
    </row>
    <row r="202" spans="2:16" ht="15.75" hidden="1" customHeight="1" x14ac:dyDescent="0.25">
      <c r="B202" s="62"/>
      <c r="C202" s="67"/>
      <c r="D202" s="190"/>
      <c r="E202" s="190"/>
      <c r="F202" s="69"/>
      <c r="G202" s="75"/>
      <c r="H202" s="191"/>
      <c r="I202" s="193"/>
      <c r="J202" s="62"/>
      <c r="K202" s="65"/>
      <c r="L202" s="65"/>
      <c r="M202" s="77"/>
      <c r="N202" s="78"/>
      <c r="O202" s="201"/>
      <c r="P202" s="203"/>
    </row>
    <row r="203" spans="2:16" ht="15.75" hidden="1" customHeight="1" x14ac:dyDescent="0.25">
      <c r="B203" s="62"/>
      <c r="C203" s="67"/>
      <c r="D203" s="190"/>
      <c r="E203" s="190"/>
      <c r="F203" s="69"/>
      <c r="G203" s="75"/>
      <c r="H203" s="191"/>
      <c r="I203" s="193"/>
      <c r="J203" s="62"/>
      <c r="K203" s="65"/>
      <c r="L203" s="65"/>
      <c r="M203" s="77"/>
      <c r="N203" s="78"/>
      <c r="O203" s="201"/>
      <c r="P203" s="203"/>
    </row>
    <row r="204" spans="2:16" ht="15.75" hidden="1" customHeight="1" x14ac:dyDescent="0.25">
      <c r="B204" s="62"/>
      <c r="C204" s="67"/>
      <c r="D204" s="190"/>
      <c r="E204" s="190"/>
      <c r="F204" s="69"/>
      <c r="G204" s="75"/>
      <c r="H204" s="191"/>
      <c r="I204" s="193"/>
      <c r="J204" s="62"/>
      <c r="K204" s="65"/>
      <c r="L204" s="65"/>
      <c r="M204" s="77"/>
      <c r="N204" s="78"/>
      <c r="O204" s="201"/>
      <c r="P204" s="203"/>
    </row>
    <row r="205" spans="2:16" ht="15.75" hidden="1" customHeight="1" x14ac:dyDescent="0.25">
      <c r="B205" s="62"/>
      <c r="C205" s="67"/>
      <c r="D205" s="190"/>
      <c r="E205" s="190"/>
      <c r="F205" s="69"/>
      <c r="G205" s="75"/>
      <c r="H205" s="191"/>
      <c r="I205" s="193"/>
      <c r="J205" s="62"/>
      <c r="K205" s="65"/>
      <c r="L205" s="65"/>
      <c r="M205" s="77"/>
      <c r="N205" s="78"/>
      <c r="O205" s="201"/>
      <c r="P205" s="203"/>
    </row>
    <row r="206" spans="2:16" ht="15.75" hidden="1" customHeight="1" x14ac:dyDescent="0.25">
      <c r="B206" s="62"/>
      <c r="C206" s="67"/>
      <c r="D206" s="190"/>
      <c r="E206" s="190"/>
      <c r="F206" s="69"/>
      <c r="G206" s="75"/>
      <c r="H206" s="191"/>
      <c r="I206" s="193"/>
      <c r="J206" s="62"/>
      <c r="K206" s="65"/>
      <c r="L206" s="65"/>
      <c r="M206" s="77"/>
      <c r="N206" s="78"/>
      <c r="O206" s="201"/>
      <c r="P206" s="203"/>
    </row>
    <row r="207" spans="2:16" ht="15.75" hidden="1" customHeight="1" x14ac:dyDescent="0.25">
      <c r="B207" s="62"/>
      <c r="C207" s="67"/>
      <c r="D207" s="190"/>
      <c r="E207" s="190"/>
      <c r="F207" s="69"/>
      <c r="G207" s="75"/>
      <c r="H207" s="191"/>
      <c r="I207" s="193"/>
      <c r="J207" s="62"/>
      <c r="K207" s="65"/>
      <c r="L207" s="65"/>
      <c r="M207" s="77"/>
      <c r="N207" s="78"/>
      <c r="O207" s="201"/>
      <c r="P207" s="203"/>
    </row>
    <row r="208" spans="2:16" ht="15.75" hidden="1" customHeight="1" x14ac:dyDescent="0.25">
      <c r="B208" s="62"/>
      <c r="C208" s="67"/>
      <c r="D208" s="190"/>
      <c r="E208" s="190"/>
      <c r="F208" s="69"/>
      <c r="G208" s="75"/>
      <c r="H208" s="191"/>
      <c r="I208" s="193"/>
      <c r="J208" s="62"/>
      <c r="K208" s="65"/>
      <c r="L208" s="65"/>
      <c r="M208" s="77"/>
      <c r="N208" s="78"/>
      <c r="O208" s="201"/>
      <c r="P208" s="203"/>
    </row>
    <row r="209" spans="2:16" ht="15.75" hidden="1" customHeight="1" x14ac:dyDescent="0.25">
      <c r="B209" s="62"/>
      <c r="C209" s="67"/>
      <c r="D209" s="190"/>
      <c r="E209" s="190"/>
      <c r="F209" s="69"/>
      <c r="G209" s="75"/>
      <c r="H209" s="191"/>
      <c r="I209" s="193"/>
      <c r="J209" s="62"/>
      <c r="K209" s="65"/>
      <c r="L209" s="65"/>
      <c r="M209" s="77"/>
      <c r="N209" s="78"/>
      <c r="O209" s="201"/>
      <c r="P209" s="203"/>
    </row>
    <row r="210" spans="2:16" ht="15.75" hidden="1" customHeight="1" x14ac:dyDescent="0.25">
      <c r="B210" s="62"/>
      <c r="C210" s="67"/>
      <c r="D210" s="190"/>
      <c r="E210" s="190"/>
      <c r="F210" s="69"/>
      <c r="G210" s="75"/>
      <c r="H210" s="191"/>
      <c r="I210" s="193"/>
      <c r="J210" s="62"/>
      <c r="K210" s="65"/>
      <c r="L210" s="65"/>
      <c r="M210" s="77"/>
      <c r="N210" s="78"/>
      <c r="O210" s="201"/>
      <c r="P210" s="203"/>
    </row>
    <row r="211" spans="2:16" ht="15.75" hidden="1" customHeight="1" x14ac:dyDescent="0.25">
      <c r="B211" s="62"/>
      <c r="C211" s="67"/>
      <c r="D211" s="190"/>
      <c r="E211" s="190"/>
      <c r="F211" s="69"/>
      <c r="G211" s="75"/>
      <c r="H211" s="191"/>
      <c r="I211" s="193"/>
      <c r="J211" s="62"/>
      <c r="K211" s="65"/>
      <c r="L211" s="65"/>
      <c r="M211" s="77"/>
      <c r="N211" s="78"/>
      <c r="O211" s="201"/>
      <c r="P211" s="203"/>
    </row>
    <row r="212" spans="2:16" ht="15.75" hidden="1" customHeight="1" x14ac:dyDescent="0.25">
      <c r="B212" s="62"/>
      <c r="C212" s="67"/>
      <c r="D212" s="190"/>
      <c r="E212" s="190"/>
      <c r="F212" s="69"/>
      <c r="G212" s="75"/>
      <c r="H212" s="191"/>
      <c r="I212" s="193"/>
      <c r="J212" s="62"/>
      <c r="K212" s="65"/>
      <c r="L212" s="65"/>
      <c r="M212" s="77"/>
      <c r="N212" s="78"/>
      <c r="O212" s="201"/>
      <c r="P212" s="203"/>
    </row>
    <row r="213" spans="2:16" ht="15.75" hidden="1" customHeight="1" x14ac:dyDescent="0.25">
      <c r="B213" s="62"/>
      <c r="C213" s="67"/>
      <c r="D213" s="190"/>
      <c r="E213" s="190"/>
      <c r="F213" s="69"/>
      <c r="G213" s="75"/>
      <c r="H213" s="191"/>
      <c r="I213" s="193"/>
      <c r="J213" s="62"/>
      <c r="K213" s="65"/>
      <c r="L213" s="65"/>
      <c r="M213" s="77"/>
      <c r="N213" s="78"/>
      <c r="O213" s="201"/>
      <c r="P213" s="203"/>
    </row>
    <row r="214" spans="2:16" ht="15.75" hidden="1" customHeight="1" x14ac:dyDescent="0.25">
      <c r="B214" s="62"/>
      <c r="C214" s="67"/>
      <c r="D214" s="190"/>
      <c r="E214" s="190"/>
      <c r="F214" s="69"/>
      <c r="G214" s="75"/>
      <c r="H214" s="191"/>
      <c r="I214" s="193"/>
      <c r="J214" s="62"/>
      <c r="K214" s="65"/>
      <c r="L214" s="65"/>
      <c r="M214" s="77"/>
      <c r="N214" s="78"/>
      <c r="O214" s="201"/>
      <c r="P214" s="203"/>
    </row>
    <row r="215" spans="2:16" ht="15.75" hidden="1" customHeight="1" x14ac:dyDescent="0.25">
      <c r="B215" s="62"/>
      <c r="C215" s="67"/>
      <c r="D215" s="190"/>
      <c r="E215" s="190"/>
      <c r="F215" s="70"/>
      <c r="G215" s="75"/>
      <c r="H215" s="191"/>
      <c r="I215" s="193"/>
      <c r="J215" s="62"/>
      <c r="K215" s="65" t="s">
        <v>199</v>
      </c>
      <c r="L215" s="65"/>
      <c r="M215" s="77"/>
      <c r="N215" s="78"/>
      <c r="O215" s="201"/>
      <c r="P215" s="203"/>
    </row>
    <row r="216" spans="2:16" ht="15.75" hidden="1" customHeight="1" x14ac:dyDescent="0.25">
      <c r="B216" s="62"/>
      <c r="C216" s="67"/>
      <c r="D216" s="190"/>
      <c r="E216" s="190"/>
      <c r="F216" s="70"/>
      <c r="G216" s="75"/>
      <c r="H216" s="191"/>
      <c r="I216" s="193"/>
      <c r="J216" s="62"/>
      <c r="K216" s="65" t="s">
        <v>199</v>
      </c>
      <c r="L216" s="65"/>
      <c r="M216" s="77"/>
      <c r="N216" s="78"/>
      <c r="O216" s="201"/>
      <c r="P216" s="203"/>
    </row>
    <row r="217" spans="2:16" ht="15.75" hidden="1" customHeight="1" x14ac:dyDescent="0.25">
      <c r="B217" s="62"/>
      <c r="C217" s="67"/>
      <c r="D217" s="190"/>
      <c r="E217" s="190"/>
      <c r="F217" s="70"/>
      <c r="G217" s="75"/>
      <c r="H217" s="191"/>
      <c r="I217" s="193"/>
      <c r="J217" s="62"/>
      <c r="K217" s="65" t="s">
        <v>199</v>
      </c>
      <c r="L217" s="65"/>
      <c r="M217" s="77"/>
      <c r="N217" s="78"/>
      <c r="O217" s="201"/>
      <c r="P217" s="203"/>
    </row>
    <row r="218" spans="2:16" ht="69.75" customHeight="1" thickBot="1" x14ac:dyDescent="0.3">
      <c r="B218" s="62" t="s">
        <v>173</v>
      </c>
      <c r="C218" s="67" t="s">
        <v>596</v>
      </c>
      <c r="D218" s="190" t="s">
        <v>288</v>
      </c>
      <c r="E218" s="190" t="s">
        <v>505</v>
      </c>
      <c r="F218" s="69" t="s">
        <v>595</v>
      </c>
      <c r="G218" s="190" t="s">
        <v>116</v>
      </c>
      <c r="H218" s="68" t="s">
        <v>241</v>
      </c>
      <c r="I218" s="193">
        <v>15123</v>
      </c>
      <c r="J218" s="62" t="s">
        <v>363</v>
      </c>
      <c r="K218" s="65" t="s">
        <v>199</v>
      </c>
      <c r="L218" s="65">
        <f>M218+N218+O218</f>
        <v>207922.641</v>
      </c>
      <c r="M218" s="215">
        <f>M219</f>
        <v>64789.550999999999</v>
      </c>
      <c r="N218" s="215">
        <f>N219</f>
        <v>70193.315000000002</v>
      </c>
      <c r="O218" s="219">
        <f>O219</f>
        <v>72939.774999999994</v>
      </c>
      <c r="P218" s="283">
        <f>P219</f>
        <v>75822.464999999997</v>
      </c>
    </row>
    <row r="219" spans="2:16" ht="111.75" customHeight="1" x14ac:dyDescent="0.25">
      <c r="B219" s="62" t="s">
        <v>173</v>
      </c>
      <c r="C219" s="67" t="s">
        <v>596</v>
      </c>
      <c r="D219" s="190" t="s">
        <v>288</v>
      </c>
      <c r="E219" s="190" t="s">
        <v>505</v>
      </c>
      <c r="F219" s="70" t="s">
        <v>357</v>
      </c>
      <c r="G219" s="75" t="s">
        <v>256</v>
      </c>
      <c r="H219" s="68" t="s">
        <v>241</v>
      </c>
      <c r="I219" s="193" t="s">
        <v>365</v>
      </c>
      <c r="J219" s="1050" t="s">
        <v>363</v>
      </c>
      <c r="K219" s="65" t="s">
        <v>199</v>
      </c>
      <c r="L219" s="65">
        <f>M219+N219+O219</f>
        <v>207922.641</v>
      </c>
      <c r="M219" s="1159">
        <v>64789.550999999999</v>
      </c>
      <c r="N219" s="1184">
        <v>70193.315000000002</v>
      </c>
      <c r="O219" s="1159">
        <v>72939.774999999994</v>
      </c>
      <c r="P219" s="1151">
        <v>75822.464999999997</v>
      </c>
    </row>
    <row r="220" spans="2:16" ht="95.25" customHeight="1" x14ac:dyDescent="0.25">
      <c r="B220" s="62" t="s">
        <v>173</v>
      </c>
      <c r="C220" s="67" t="s">
        <v>596</v>
      </c>
      <c r="D220" s="190" t="s">
        <v>288</v>
      </c>
      <c r="E220" s="190" t="s">
        <v>505</v>
      </c>
      <c r="F220" s="70" t="s">
        <v>358</v>
      </c>
      <c r="G220" s="75" t="s">
        <v>256</v>
      </c>
      <c r="H220" s="68" t="s">
        <v>241</v>
      </c>
      <c r="I220" s="193" t="s">
        <v>366</v>
      </c>
      <c r="J220" s="1023"/>
      <c r="K220" s="65" t="s">
        <v>199</v>
      </c>
      <c r="L220" s="65"/>
      <c r="M220" s="1151"/>
      <c r="N220" s="1185"/>
      <c r="O220" s="1151"/>
      <c r="P220" s="1151"/>
    </row>
    <row r="221" spans="2:16" ht="147.75" customHeight="1" x14ac:dyDescent="0.25">
      <c r="B221" s="62" t="s">
        <v>173</v>
      </c>
      <c r="C221" s="67" t="s">
        <v>596</v>
      </c>
      <c r="D221" s="190" t="s">
        <v>288</v>
      </c>
      <c r="E221" s="190" t="s">
        <v>505</v>
      </c>
      <c r="F221" s="70" t="s">
        <v>359</v>
      </c>
      <c r="G221" s="75" t="s">
        <v>256</v>
      </c>
      <c r="H221" s="68" t="s">
        <v>241</v>
      </c>
      <c r="I221" s="193" t="s">
        <v>367</v>
      </c>
      <c r="J221" s="1023"/>
      <c r="K221" s="65" t="s">
        <v>199</v>
      </c>
      <c r="L221" s="65"/>
      <c r="M221" s="1151"/>
      <c r="N221" s="1185"/>
      <c r="O221" s="1151"/>
      <c r="P221" s="1151"/>
    </row>
    <row r="222" spans="2:16" ht="114.75" customHeight="1" x14ac:dyDescent="0.25">
      <c r="B222" s="62" t="s">
        <v>173</v>
      </c>
      <c r="C222" s="67" t="s">
        <v>596</v>
      </c>
      <c r="D222" s="190" t="s">
        <v>288</v>
      </c>
      <c r="E222" s="190" t="s">
        <v>505</v>
      </c>
      <c r="F222" s="70" t="s">
        <v>360</v>
      </c>
      <c r="G222" s="75" t="s">
        <v>256</v>
      </c>
      <c r="H222" s="68" t="s">
        <v>241</v>
      </c>
      <c r="I222" s="193" t="s">
        <v>368</v>
      </c>
      <c r="J222" s="1023"/>
      <c r="K222" s="65" t="s">
        <v>199</v>
      </c>
      <c r="L222" s="65"/>
      <c r="M222" s="1151"/>
      <c r="N222" s="1185"/>
      <c r="O222" s="1151"/>
      <c r="P222" s="1151"/>
    </row>
    <row r="223" spans="2:16" ht="66.75" customHeight="1" thickBot="1" x14ac:dyDescent="0.3">
      <c r="B223" s="62" t="s">
        <v>173</v>
      </c>
      <c r="C223" s="67" t="s">
        <v>596</v>
      </c>
      <c r="D223" s="190" t="s">
        <v>288</v>
      </c>
      <c r="E223" s="190" t="s">
        <v>505</v>
      </c>
      <c r="F223" s="71" t="s">
        <v>361</v>
      </c>
      <c r="G223" s="75" t="s">
        <v>256</v>
      </c>
      <c r="H223" s="68" t="s">
        <v>241</v>
      </c>
      <c r="I223" s="193" t="s">
        <v>369</v>
      </c>
      <c r="J223" s="1051"/>
      <c r="K223" s="65" t="s">
        <v>199</v>
      </c>
      <c r="L223" s="65"/>
      <c r="M223" s="1152"/>
      <c r="N223" s="1186"/>
      <c r="O223" s="1152"/>
      <c r="P223" s="1151"/>
    </row>
    <row r="224" spans="2:16" ht="109.5" customHeight="1" thickBot="1" x14ac:dyDescent="0.3">
      <c r="B224" s="62" t="s">
        <v>173</v>
      </c>
      <c r="C224" s="67" t="s">
        <v>289</v>
      </c>
      <c r="D224" s="190" t="s">
        <v>288</v>
      </c>
      <c r="E224" s="124" t="s">
        <v>116</v>
      </c>
      <c r="F224" s="136" t="s">
        <v>290</v>
      </c>
      <c r="G224" s="75" t="s">
        <v>257</v>
      </c>
      <c r="H224" s="68" t="s">
        <v>242</v>
      </c>
      <c r="I224" s="193" t="s">
        <v>607</v>
      </c>
      <c r="J224" s="62" t="s">
        <v>363</v>
      </c>
      <c r="K224" s="65" t="s">
        <v>199</v>
      </c>
      <c r="L224" s="65">
        <f>M224+N224+O224</f>
        <v>4604.71</v>
      </c>
      <c r="M224" s="215">
        <f>M225+M226</f>
        <v>2098</v>
      </c>
      <c r="N224" s="215">
        <f>N225+N226</f>
        <v>2506.71</v>
      </c>
      <c r="O224" s="219">
        <f>O225+O226</f>
        <v>0</v>
      </c>
      <c r="P224" s="220">
        <f>P225+P226</f>
        <v>0</v>
      </c>
    </row>
    <row r="225" spans="2:18" ht="66.75" customHeight="1" x14ac:dyDescent="0.25">
      <c r="B225" s="62" t="s">
        <v>173</v>
      </c>
      <c r="C225" s="67" t="s">
        <v>289</v>
      </c>
      <c r="D225" s="190" t="s">
        <v>288</v>
      </c>
      <c r="E225" s="190" t="s">
        <v>505</v>
      </c>
      <c r="F225" s="126" t="s">
        <v>604</v>
      </c>
      <c r="G225" s="75" t="s">
        <v>257</v>
      </c>
      <c r="H225" s="68" t="s">
        <v>242</v>
      </c>
      <c r="I225" s="193" t="s">
        <v>605</v>
      </c>
      <c r="J225" s="62" t="s">
        <v>363</v>
      </c>
      <c r="K225" s="65"/>
      <c r="L225" s="65"/>
      <c r="M225" s="77">
        <v>1640.6</v>
      </c>
      <c r="N225" s="267">
        <v>1639</v>
      </c>
      <c r="O225" s="200">
        <v>0</v>
      </c>
      <c r="P225" s="236">
        <v>0</v>
      </c>
    </row>
    <row r="226" spans="2:18" ht="245.25" customHeight="1" thickBot="1" x14ac:dyDescent="0.3">
      <c r="B226" s="62" t="s">
        <v>173</v>
      </c>
      <c r="C226" s="67" t="s">
        <v>289</v>
      </c>
      <c r="D226" s="190" t="s">
        <v>288</v>
      </c>
      <c r="E226" s="190" t="s">
        <v>621</v>
      </c>
      <c r="F226" s="70" t="s">
        <v>604</v>
      </c>
      <c r="G226" s="75" t="s">
        <v>257</v>
      </c>
      <c r="H226" s="68" t="s">
        <v>242</v>
      </c>
      <c r="I226" s="193" t="s">
        <v>606</v>
      </c>
      <c r="J226" s="62" t="s">
        <v>363</v>
      </c>
      <c r="K226" s="65"/>
      <c r="L226" s="65"/>
      <c r="M226" s="77">
        <v>457.4</v>
      </c>
      <c r="N226" s="267">
        <v>867.71</v>
      </c>
      <c r="O226" s="200">
        <v>0</v>
      </c>
      <c r="P226" s="263">
        <v>0</v>
      </c>
    </row>
    <row r="227" spans="2:18" ht="80.25" customHeight="1" thickBot="1" x14ac:dyDescent="0.3">
      <c r="B227" s="62" t="s">
        <v>173</v>
      </c>
      <c r="C227" s="67" t="s">
        <v>291</v>
      </c>
      <c r="D227" s="190" t="s">
        <v>288</v>
      </c>
      <c r="E227" s="190" t="s">
        <v>505</v>
      </c>
      <c r="F227" s="69" t="s">
        <v>77</v>
      </c>
      <c r="G227" s="75" t="s">
        <v>254</v>
      </c>
      <c r="H227" s="68" t="s">
        <v>240</v>
      </c>
      <c r="I227" s="193">
        <v>1</v>
      </c>
      <c r="J227" s="62" t="s">
        <v>363</v>
      </c>
      <c r="K227" s="65" t="s">
        <v>199</v>
      </c>
      <c r="L227" s="65">
        <f t="shared" ref="L227:L234" si="5">M227+N227+O227</f>
        <v>26820.342000000001</v>
      </c>
      <c r="M227" s="215">
        <v>6916.1220000000003</v>
      </c>
      <c r="N227" s="259">
        <v>16104.22</v>
      </c>
      <c r="O227" s="264">
        <f>O228+O229+O230</f>
        <v>3800</v>
      </c>
      <c r="P227" s="261">
        <v>3800</v>
      </c>
    </row>
    <row r="228" spans="2:18" ht="80.25" customHeight="1" x14ac:dyDescent="0.25">
      <c r="B228" s="62" t="s">
        <v>173</v>
      </c>
      <c r="C228" s="67" t="s">
        <v>291</v>
      </c>
      <c r="D228" s="190" t="s">
        <v>288</v>
      </c>
      <c r="E228" s="190" t="s">
        <v>505</v>
      </c>
      <c r="F228" s="70" t="s">
        <v>292</v>
      </c>
      <c r="G228" s="75" t="s">
        <v>254</v>
      </c>
      <c r="H228" s="68" t="s">
        <v>240</v>
      </c>
      <c r="I228" s="193">
        <v>1</v>
      </c>
      <c r="J228" s="62" t="s">
        <v>363</v>
      </c>
      <c r="K228" s="65" t="s">
        <v>199</v>
      </c>
      <c r="L228" s="65">
        <f t="shared" si="5"/>
        <v>5175.7000000000007</v>
      </c>
      <c r="M228" s="77">
        <v>1707.9</v>
      </c>
      <c r="N228" s="79">
        <v>1733.9</v>
      </c>
      <c r="O228" s="200">
        <v>1733.9</v>
      </c>
      <c r="P228" s="217"/>
      <c r="Q228" s="51"/>
      <c r="R228" s="51"/>
    </row>
    <row r="229" spans="2:18" ht="81.75" customHeight="1" x14ac:dyDescent="0.25">
      <c r="B229" s="62" t="s">
        <v>173</v>
      </c>
      <c r="C229" s="67" t="s">
        <v>291</v>
      </c>
      <c r="D229" s="190" t="s">
        <v>288</v>
      </c>
      <c r="E229" s="190" t="s">
        <v>505</v>
      </c>
      <c r="F229" s="70" t="s">
        <v>293</v>
      </c>
      <c r="G229" s="75" t="s">
        <v>254</v>
      </c>
      <c r="H229" s="68" t="s">
        <v>240</v>
      </c>
      <c r="I229" s="193">
        <v>1</v>
      </c>
      <c r="J229" s="62" t="s">
        <v>363</v>
      </c>
      <c r="K229" s="65" t="s">
        <v>199</v>
      </c>
      <c r="L229" s="65">
        <f t="shared" si="5"/>
        <v>5851.226999999999</v>
      </c>
      <c r="M229" s="77">
        <f>1957.19646-238.16946</f>
        <v>1719.0269999999998</v>
      </c>
      <c r="N229" s="79">
        <v>2066.1</v>
      </c>
      <c r="O229" s="200">
        <v>2066.1</v>
      </c>
      <c r="P229" s="203"/>
      <c r="Q229" s="51"/>
    </row>
    <row r="230" spans="2:18" ht="84" customHeight="1" x14ac:dyDescent="0.25">
      <c r="B230" s="62" t="s">
        <v>173</v>
      </c>
      <c r="C230" s="67" t="s">
        <v>291</v>
      </c>
      <c r="D230" s="190" t="s">
        <v>288</v>
      </c>
      <c r="E230" s="190" t="s">
        <v>505</v>
      </c>
      <c r="F230" s="70" t="s">
        <v>294</v>
      </c>
      <c r="G230" s="75" t="s">
        <v>254</v>
      </c>
      <c r="H230" s="68" t="s">
        <v>240</v>
      </c>
      <c r="I230" s="193">
        <v>1</v>
      </c>
      <c r="J230" s="62" t="s">
        <v>363</v>
      </c>
      <c r="K230" s="65" t="s">
        <v>199</v>
      </c>
      <c r="L230" s="65">
        <f t="shared" si="5"/>
        <v>202.08</v>
      </c>
      <c r="M230" s="77">
        <v>202.08</v>
      </c>
      <c r="N230" s="79">
        <v>0</v>
      </c>
      <c r="O230" s="200">
        <v>0</v>
      </c>
      <c r="P230" s="203"/>
    </row>
    <row r="231" spans="2:18" ht="84" customHeight="1" x14ac:dyDescent="0.25">
      <c r="B231" s="62" t="s">
        <v>173</v>
      </c>
      <c r="C231" s="67" t="s">
        <v>291</v>
      </c>
      <c r="D231" s="190" t="s">
        <v>288</v>
      </c>
      <c r="E231" s="190" t="s">
        <v>505</v>
      </c>
      <c r="F231" s="70" t="s">
        <v>540</v>
      </c>
      <c r="G231" s="75" t="s">
        <v>435</v>
      </c>
      <c r="H231" s="68" t="s">
        <v>240</v>
      </c>
      <c r="I231" s="193">
        <v>1</v>
      </c>
      <c r="J231" s="62" t="s">
        <v>363</v>
      </c>
      <c r="K231" s="65"/>
      <c r="L231" s="65">
        <f t="shared" si="5"/>
        <v>196</v>
      </c>
      <c r="M231" s="77">
        <v>196</v>
      </c>
      <c r="N231" s="79">
        <v>0</v>
      </c>
      <c r="O231" s="200">
        <v>0</v>
      </c>
      <c r="P231" s="203"/>
    </row>
    <row r="232" spans="2:18" ht="84" customHeight="1" x14ac:dyDescent="0.25">
      <c r="B232" s="62" t="s">
        <v>173</v>
      </c>
      <c r="C232" s="67" t="s">
        <v>291</v>
      </c>
      <c r="D232" s="190" t="s">
        <v>288</v>
      </c>
      <c r="E232" s="190" t="s">
        <v>505</v>
      </c>
      <c r="F232" s="70" t="s">
        <v>541</v>
      </c>
      <c r="G232" s="75" t="s">
        <v>435</v>
      </c>
      <c r="H232" s="68" t="s">
        <v>240</v>
      </c>
      <c r="I232" s="193" t="s">
        <v>373</v>
      </c>
      <c r="J232" s="62" t="s">
        <v>363</v>
      </c>
      <c r="K232" s="65"/>
      <c r="L232" s="65">
        <f t="shared" si="5"/>
        <v>400</v>
      </c>
      <c r="M232" s="77">
        <v>400</v>
      </c>
      <c r="N232" s="79">
        <v>0</v>
      </c>
      <c r="O232" s="200">
        <v>0</v>
      </c>
      <c r="P232" s="203"/>
    </row>
    <row r="233" spans="2:18" ht="84" customHeight="1" x14ac:dyDescent="0.25">
      <c r="B233" s="62" t="s">
        <v>173</v>
      </c>
      <c r="C233" s="67" t="s">
        <v>291</v>
      </c>
      <c r="D233" s="190" t="s">
        <v>288</v>
      </c>
      <c r="E233" s="190" t="s">
        <v>505</v>
      </c>
      <c r="F233" s="70" t="s">
        <v>542</v>
      </c>
      <c r="G233" s="75" t="s">
        <v>435</v>
      </c>
      <c r="H233" s="68" t="s">
        <v>240</v>
      </c>
      <c r="I233" s="193" t="s">
        <v>374</v>
      </c>
      <c r="J233" s="62" t="s">
        <v>363</v>
      </c>
      <c r="K233" s="65"/>
      <c r="L233" s="65">
        <f t="shared" si="5"/>
        <v>300</v>
      </c>
      <c r="M233" s="77">
        <v>300</v>
      </c>
      <c r="N233" s="79">
        <v>0</v>
      </c>
      <c r="O233" s="200">
        <v>0</v>
      </c>
      <c r="P233" s="203"/>
    </row>
    <row r="234" spans="2:18" ht="84" customHeight="1" x14ac:dyDescent="0.25">
      <c r="B234" s="62" t="s">
        <v>173</v>
      </c>
      <c r="C234" s="67" t="s">
        <v>291</v>
      </c>
      <c r="D234" s="190" t="s">
        <v>288</v>
      </c>
      <c r="E234" s="190" t="s">
        <v>505</v>
      </c>
      <c r="F234" s="70" t="s">
        <v>599</v>
      </c>
      <c r="G234" s="75" t="s">
        <v>435</v>
      </c>
      <c r="H234" s="68" t="s">
        <v>240</v>
      </c>
      <c r="I234" s="193" t="s">
        <v>373</v>
      </c>
      <c r="J234" s="62" t="s">
        <v>363</v>
      </c>
      <c r="K234" s="65"/>
      <c r="L234" s="65">
        <f t="shared" si="5"/>
        <v>350</v>
      </c>
      <c r="M234" s="77">
        <v>350</v>
      </c>
      <c r="N234" s="79">
        <v>0</v>
      </c>
      <c r="O234" s="200">
        <v>0</v>
      </c>
      <c r="P234" s="203"/>
    </row>
    <row r="235" spans="2:18" ht="66" customHeight="1" thickBot="1" x14ac:dyDescent="0.3">
      <c r="B235" s="62" t="s">
        <v>173</v>
      </c>
      <c r="C235" s="67" t="s">
        <v>291</v>
      </c>
      <c r="D235" s="190" t="s">
        <v>288</v>
      </c>
      <c r="E235" s="190" t="s">
        <v>505</v>
      </c>
      <c r="F235" s="70" t="s">
        <v>646</v>
      </c>
      <c r="G235" s="75" t="s">
        <v>647</v>
      </c>
      <c r="H235" s="68" t="s">
        <v>240</v>
      </c>
      <c r="I235" s="193" t="s">
        <v>263</v>
      </c>
      <c r="J235" s="62" t="s">
        <v>363</v>
      </c>
      <c r="K235" s="65"/>
      <c r="L235" s="65"/>
      <c r="M235" s="77">
        <v>26</v>
      </c>
      <c r="N235" s="79"/>
      <c r="O235" s="200"/>
      <c r="P235" s="216"/>
    </row>
    <row r="236" spans="2:18" ht="79.5" customHeight="1" thickBot="1" x14ac:dyDescent="0.3">
      <c r="B236" s="62" t="s">
        <v>173</v>
      </c>
      <c r="C236" s="67" t="s">
        <v>295</v>
      </c>
      <c r="D236" s="190" t="s">
        <v>288</v>
      </c>
      <c r="E236" s="190" t="s">
        <v>505</v>
      </c>
      <c r="F236" s="69" t="s">
        <v>280</v>
      </c>
      <c r="G236" s="75" t="s">
        <v>255</v>
      </c>
      <c r="H236" s="68" t="s">
        <v>240</v>
      </c>
      <c r="I236" s="193">
        <v>1</v>
      </c>
      <c r="J236" s="62" t="s">
        <v>363</v>
      </c>
      <c r="K236" s="65" t="s">
        <v>199</v>
      </c>
      <c r="L236" s="65">
        <f>L237+L238+L239</f>
        <v>4983.6450000000004</v>
      </c>
      <c r="M236" s="215">
        <v>45814.818079999997</v>
      </c>
      <c r="N236" s="259">
        <v>8801.2559999999994</v>
      </c>
      <c r="O236" s="264">
        <f>O237+O238+O239</f>
        <v>0</v>
      </c>
      <c r="P236" s="261">
        <f>P237+P238+P239</f>
        <v>0</v>
      </c>
    </row>
    <row r="237" spans="2:18" ht="114" customHeight="1" x14ac:dyDescent="0.25">
      <c r="B237" s="62" t="s">
        <v>173</v>
      </c>
      <c r="C237" s="67" t="s">
        <v>295</v>
      </c>
      <c r="D237" s="190" t="s">
        <v>288</v>
      </c>
      <c r="E237" s="190" t="s">
        <v>505</v>
      </c>
      <c r="F237" s="70" t="s">
        <v>662</v>
      </c>
      <c r="G237" s="75" t="s">
        <v>661</v>
      </c>
      <c r="H237" s="68" t="s">
        <v>240</v>
      </c>
      <c r="I237" s="193" t="s">
        <v>668</v>
      </c>
      <c r="J237" s="62" t="s">
        <v>363</v>
      </c>
      <c r="K237" s="65" t="s">
        <v>199</v>
      </c>
      <c r="L237" s="65">
        <f>M237+N237+O237</f>
        <v>2828.9</v>
      </c>
      <c r="M237" s="77">
        <f>2527.8+301.1</f>
        <v>2828.9</v>
      </c>
      <c r="N237" s="79">
        <v>0</v>
      </c>
      <c r="O237" s="200">
        <v>0</v>
      </c>
      <c r="P237" s="217"/>
    </row>
    <row r="238" spans="2:18" ht="79.5" customHeight="1" x14ac:dyDescent="0.25">
      <c r="B238" s="62" t="s">
        <v>173</v>
      </c>
      <c r="C238" s="67" t="s">
        <v>295</v>
      </c>
      <c r="D238" s="190" t="s">
        <v>288</v>
      </c>
      <c r="E238" s="190" t="s">
        <v>505</v>
      </c>
      <c r="F238" s="70" t="s">
        <v>620</v>
      </c>
      <c r="G238" s="75" t="s">
        <v>255</v>
      </c>
      <c r="H238" s="68" t="s">
        <v>240</v>
      </c>
      <c r="I238" s="193">
        <v>1</v>
      </c>
      <c r="J238" s="62" t="s">
        <v>363</v>
      </c>
      <c r="K238" s="65" t="s">
        <v>199</v>
      </c>
      <c r="L238" s="65">
        <f>M238+N238+O238</f>
        <v>597.5</v>
      </c>
      <c r="M238" s="77">
        <v>597.5</v>
      </c>
      <c r="N238" s="79">
        <v>0</v>
      </c>
      <c r="O238" s="200">
        <v>0</v>
      </c>
      <c r="P238" s="203"/>
    </row>
    <row r="239" spans="2:18" ht="81.75" customHeight="1" x14ac:dyDescent="0.25">
      <c r="B239" s="62" t="s">
        <v>173</v>
      </c>
      <c r="C239" s="67" t="s">
        <v>295</v>
      </c>
      <c r="D239" s="190" t="s">
        <v>288</v>
      </c>
      <c r="E239" s="190" t="s">
        <v>505</v>
      </c>
      <c r="F239" s="70" t="s">
        <v>296</v>
      </c>
      <c r="G239" s="75" t="s">
        <v>255</v>
      </c>
      <c r="H239" s="68" t="s">
        <v>240</v>
      </c>
      <c r="I239" s="193">
        <v>1</v>
      </c>
      <c r="J239" s="62" t="s">
        <v>363</v>
      </c>
      <c r="K239" s="65" t="s">
        <v>199</v>
      </c>
      <c r="L239" s="65">
        <f>M239+N239+O239</f>
        <v>1557.2449999999999</v>
      </c>
      <c r="M239" s="77">
        <v>1557.2449999999999</v>
      </c>
      <c r="N239" s="79">
        <v>0</v>
      </c>
      <c r="O239" s="200">
        <v>0</v>
      </c>
      <c r="P239" s="203"/>
    </row>
    <row r="240" spans="2:18" ht="84.75" customHeight="1" x14ac:dyDescent="0.25">
      <c r="B240" s="62" t="s">
        <v>173</v>
      </c>
      <c r="C240" s="67" t="s">
        <v>295</v>
      </c>
      <c r="D240" s="190" t="s">
        <v>288</v>
      </c>
      <c r="E240" s="190" t="s">
        <v>505</v>
      </c>
      <c r="F240" s="70" t="s">
        <v>493</v>
      </c>
      <c r="G240" s="75" t="s">
        <v>527</v>
      </c>
      <c r="H240" s="68" t="s">
        <v>240</v>
      </c>
      <c r="I240" s="193">
        <v>1</v>
      </c>
      <c r="J240" s="62" t="s">
        <v>363</v>
      </c>
      <c r="K240" s="65"/>
      <c r="L240" s="65">
        <f>M240+N240+O240</f>
        <v>1400</v>
      </c>
      <c r="M240" s="77">
        <v>1400</v>
      </c>
      <c r="N240" s="286">
        <v>0</v>
      </c>
      <c r="O240" s="288">
        <v>0</v>
      </c>
      <c r="P240" s="203"/>
      <c r="R240" s="50"/>
    </row>
    <row r="241" spans="2:21" ht="84.75" customHeight="1" x14ac:dyDescent="0.25">
      <c r="B241" s="62" t="s">
        <v>173</v>
      </c>
      <c r="C241" s="67" t="s">
        <v>295</v>
      </c>
      <c r="D241" s="190" t="s">
        <v>288</v>
      </c>
      <c r="E241" s="190" t="s">
        <v>505</v>
      </c>
      <c r="F241" s="70" t="s">
        <v>546</v>
      </c>
      <c r="G241" s="75" t="s">
        <v>527</v>
      </c>
      <c r="H241" s="68" t="s">
        <v>240</v>
      </c>
      <c r="I241" s="193">
        <v>1</v>
      </c>
      <c r="J241" s="62" t="s">
        <v>363</v>
      </c>
      <c r="K241" s="65"/>
      <c r="L241" s="65">
        <f>M241+N241+O241</f>
        <v>167.96</v>
      </c>
      <c r="M241" s="77">
        <v>167.96</v>
      </c>
      <c r="N241" s="286">
        <v>0</v>
      </c>
      <c r="O241" s="288">
        <v>0</v>
      </c>
      <c r="P241" s="203"/>
      <c r="R241" s="50"/>
    </row>
    <row r="242" spans="2:21" ht="84.75" customHeight="1" x14ac:dyDescent="0.25">
      <c r="B242" s="62" t="s">
        <v>173</v>
      </c>
      <c r="C242" s="67" t="s">
        <v>295</v>
      </c>
      <c r="D242" s="190" t="s">
        <v>288</v>
      </c>
      <c r="E242" s="190" t="s">
        <v>505</v>
      </c>
      <c r="F242" s="70" t="s">
        <v>547</v>
      </c>
      <c r="G242" s="75" t="s">
        <v>548</v>
      </c>
      <c r="H242" s="68" t="s">
        <v>240</v>
      </c>
      <c r="I242" s="193" t="s">
        <v>545</v>
      </c>
      <c r="J242" s="62" t="s">
        <v>363</v>
      </c>
      <c r="K242" s="65"/>
      <c r="L242" s="65"/>
      <c r="M242" s="77">
        <f>2097.909+2142.322+1438.711+400+936.484</f>
        <v>7015.4260000000004</v>
      </c>
      <c r="N242" s="286">
        <v>0</v>
      </c>
      <c r="O242" s="288">
        <v>0</v>
      </c>
      <c r="P242" s="203"/>
      <c r="R242" s="50"/>
      <c r="T242" s="37" t="s">
        <v>678</v>
      </c>
    </row>
    <row r="243" spans="2:21" ht="84.75" customHeight="1" x14ac:dyDescent="0.25">
      <c r="B243" s="62" t="s">
        <v>173</v>
      </c>
      <c r="C243" s="67" t="s">
        <v>295</v>
      </c>
      <c r="D243" s="190" t="s">
        <v>288</v>
      </c>
      <c r="E243" s="190" t="s">
        <v>505</v>
      </c>
      <c r="F243" s="70" t="s">
        <v>550</v>
      </c>
      <c r="G243" s="75" t="s">
        <v>435</v>
      </c>
      <c r="H243" s="68" t="s">
        <v>240</v>
      </c>
      <c r="I243" s="193" t="s">
        <v>545</v>
      </c>
      <c r="J243" s="62" t="s">
        <v>363</v>
      </c>
      <c r="K243" s="65"/>
      <c r="L243" s="65"/>
      <c r="M243" s="77">
        <f>388+384+391+387</f>
        <v>1550</v>
      </c>
      <c r="N243" s="286">
        <v>0</v>
      </c>
      <c r="O243" s="288">
        <v>0</v>
      </c>
      <c r="P243" s="203"/>
      <c r="R243" s="50"/>
    </row>
    <row r="244" spans="2:21" ht="84.75" customHeight="1" x14ac:dyDescent="0.25">
      <c r="B244" s="62" t="s">
        <v>173</v>
      </c>
      <c r="C244" s="67" t="s">
        <v>295</v>
      </c>
      <c r="D244" s="190" t="s">
        <v>288</v>
      </c>
      <c r="E244" s="190" t="s">
        <v>505</v>
      </c>
      <c r="F244" s="71" t="s">
        <v>644</v>
      </c>
      <c r="G244" s="75" t="s">
        <v>645</v>
      </c>
      <c r="H244" s="67" t="s">
        <v>240</v>
      </c>
      <c r="I244" s="193" t="s">
        <v>545</v>
      </c>
      <c r="J244" s="62" t="s">
        <v>363</v>
      </c>
      <c r="K244" s="65"/>
      <c r="L244" s="65"/>
      <c r="M244" s="77">
        <v>40.985999999999997</v>
      </c>
      <c r="N244" s="286"/>
      <c r="O244" s="288"/>
      <c r="P244" s="203"/>
      <c r="R244" s="50"/>
    </row>
    <row r="245" spans="2:21" ht="212.25" customHeight="1" x14ac:dyDescent="0.25">
      <c r="B245" s="62" t="s">
        <v>173</v>
      </c>
      <c r="C245" s="67" t="s">
        <v>295</v>
      </c>
      <c r="D245" s="190" t="s">
        <v>288</v>
      </c>
      <c r="E245" s="190" t="s">
        <v>505</v>
      </c>
      <c r="F245" s="70" t="s">
        <v>663</v>
      </c>
      <c r="G245" s="75" t="s">
        <v>435</v>
      </c>
      <c r="H245" s="68" t="s">
        <v>240</v>
      </c>
      <c r="I245" s="193" t="s">
        <v>664</v>
      </c>
      <c r="J245" s="62" t="s">
        <v>363</v>
      </c>
      <c r="K245" s="65"/>
      <c r="L245" s="65"/>
      <c r="M245" s="77">
        <v>6177.54</v>
      </c>
      <c r="N245" s="286"/>
      <c r="O245" s="288"/>
      <c r="P245" s="203"/>
      <c r="R245" s="50"/>
    </row>
    <row r="246" spans="2:21" ht="24.75" customHeight="1" x14ac:dyDescent="0.25">
      <c r="B246" s="62" t="s">
        <v>172</v>
      </c>
      <c r="C246" s="67" t="s">
        <v>291</v>
      </c>
      <c r="D246" s="67">
        <v>27300364</v>
      </c>
      <c r="E246" s="190" t="s">
        <v>192</v>
      </c>
      <c r="F246" s="70" t="s">
        <v>635</v>
      </c>
      <c r="G246" s="75" t="s">
        <v>190</v>
      </c>
      <c r="H246" s="191" t="s">
        <v>240</v>
      </c>
      <c r="I246" s="193" t="s">
        <v>468</v>
      </c>
      <c r="J246" s="62" t="s">
        <v>363</v>
      </c>
      <c r="K246" s="65"/>
      <c r="L246" s="65"/>
      <c r="M246" s="77">
        <v>55.183999999999997</v>
      </c>
      <c r="N246" s="286"/>
      <c r="O246" s="288"/>
      <c r="P246" s="203"/>
      <c r="R246" s="50"/>
    </row>
    <row r="247" spans="2:21" ht="84.75" customHeight="1" x14ac:dyDescent="0.25">
      <c r="B247" s="62" t="s">
        <v>173</v>
      </c>
      <c r="C247" s="67" t="s">
        <v>295</v>
      </c>
      <c r="D247" s="190" t="s">
        <v>288</v>
      </c>
      <c r="E247" s="190" t="s">
        <v>505</v>
      </c>
      <c r="F247" s="70" t="s">
        <v>549</v>
      </c>
      <c r="G247" s="75" t="s">
        <v>548</v>
      </c>
      <c r="H247" s="68" t="s">
        <v>240</v>
      </c>
      <c r="I247" s="193" t="s">
        <v>374</v>
      </c>
      <c r="J247" s="62" t="s">
        <v>462</v>
      </c>
      <c r="K247" s="65"/>
      <c r="L247" s="65"/>
      <c r="M247" s="77">
        <v>0</v>
      </c>
      <c r="N247" s="286">
        <f>3059.676+3045.8</f>
        <v>6105.4760000000006</v>
      </c>
      <c r="O247" s="288">
        <v>0</v>
      </c>
      <c r="P247" s="203"/>
      <c r="R247" s="50"/>
    </row>
    <row r="248" spans="2:21" ht="84.75" customHeight="1" x14ac:dyDescent="0.25">
      <c r="B248" s="62" t="s">
        <v>173</v>
      </c>
      <c r="C248" s="67" t="s">
        <v>295</v>
      </c>
      <c r="D248" s="190" t="s">
        <v>288</v>
      </c>
      <c r="E248" s="190" t="s">
        <v>505</v>
      </c>
      <c r="F248" s="70" t="s">
        <v>736</v>
      </c>
      <c r="G248" s="75"/>
      <c r="H248" s="68"/>
      <c r="I248" s="193"/>
      <c r="J248" s="62"/>
      <c r="K248" s="65"/>
      <c r="L248" s="65"/>
      <c r="M248" s="77"/>
      <c r="N248" s="286">
        <v>2695.78</v>
      </c>
      <c r="O248" s="288"/>
      <c r="P248" s="338"/>
      <c r="R248" s="50"/>
    </row>
    <row r="249" spans="2:21" ht="71.25" customHeight="1" x14ac:dyDescent="0.25">
      <c r="B249" s="180" t="s">
        <v>173</v>
      </c>
      <c r="C249" s="185">
        <v>40443</v>
      </c>
      <c r="D249" s="184" t="s">
        <v>116</v>
      </c>
      <c r="E249" s="184" t="s">
        <v>116</v>
      </c>
      <c r="F249" s="69" t="s">
        <v>469</v>
      </c>
      <c r="G249" s="75" t="s">
        <v>472</v>
      </c>
      <c r="H249" s="68" t="s">
        <v>240</v>
      </c>
      <c r="I249" s="193">
        <v>1</v>
      </c>
      <c r="J249" s="62" t="s">
        <v>363</v>
      </c>
      <c r="K249" s="65"/>
      <c r="L249" s="65"/>
      <c r="M249" s="215">
        <f>M250</f>
        <v>2775.48</v>
      </c>
      <c r="N249" s="268">
        <f>N250</f>
        <v>0</v>
      </c>
      <c r="O249" s="269">
        <f>O250</f>
        <v>0</v>
      </c>
      <c r="P249" s="269">
        <v>0</v>
      </c>
      <c r="R249" s="50"/>
    </row>
    <row r="250" spans="2:21" ht="72" customHeight="1" x14ac:dyDescent="0.25">
      <c r="B250" s="180" t="s">
        <v>173</v>
      </c>
      <c r="C250" s="185">
        <v>40443</v>
      </c>
      <c r="D250" s="184" t="s">
        <v>476</v>
      </c>
      <c r="E250" s="184" t="s">
        <v>470</v>
      </c>
      <c r="F250" s="71" t="s">
        <v>471</v>
      </c>
      <c r="G250" s="75" t="s">
        <v>472</v>
      </c>
      <c r="H250" s="68" t="s">
        <v>240</v>
      </c>
      <c r="I250" s="193" t="s">
        <v>263</v>
      </c>
      <c r="J250" s="62" t="s">
        <v>363</v>
      </c>
      <c r="K250" s="65"/>
      <c r="L250" s="65"/>
      <c r="M250" s="77">
        <f>2614.48+1+160</f>
        <v>2775.48</v>
      </c>
      <c r="N250" s="286">
        <v>0</v>
      </c>
      <c r="O250" s="288">
        <v>0</v>
      </c>
      <c r="P250" s="203"/>
      <c r="U250" s="50"/>
    </row>
    <row r="251" spans="2:21" ht="178.5" customHeight="1" x14ac:dyDescent="0.25">
      <c r="B251" s="1050" t="s">
        <v>174</v>
      </c>
      <c r="C251" s="1071" t="s">
        <v>116</v>
      </c>
      <c r="D251" s="1052" t="s">
        <v>116</v>
      </c>
      <c r="E251" s="1052" t="s">
        <v>116</v>
      </c>
      <c r="F251" s="1079" t="s">
        <v>597</v>
      </c>
      <c r="G251" s="75" t="s">
        <v>258</v>
      </c>
      <c r="H251" s="93" t="s">
        <v>241</v>
      </c>
      <c r="I251" s="193">
        <v>90</v>
      </c>
      <c r="J251" s="1050" t="s">
        <v>363</v>
      </c>
      <c r="K251" s="65" t="s">
        <v>199</v>
      </c>
      <c r="L251" s="65">
        <f>L257+L260+L263</f>
        <v>24753.599999999999</v>
      </c>
      <c r="M251" s="1175">
        <f>M257+M260+M264+M265</f>
        <v>8180.8</v>
      </c>
      <c r="N251" s="1175">
        <f>N257+N260+N264+N265</f>
        <v>8286.4</v>
      </c>
      <c r="O251" s="1175">
        <f>O257+O260+O264+O265</f>
        <v>8286.4</v>
      </c>
      <c r="P251" s="1175">
        <f>P257+P260+P264+P265</f>
        <v>8286.4</v>
      </c>
    </row>
    <row r="252" spans="2:21" s="48" customFormat="1" ht="178.5" customHeight="1" x14ac:dyDescent="0.25">
      <c r="B252" s="1023"/>
      <c r="C252" s="1073"/>
      <c r="D252" s="1053"/>
      <c r="E252" s="1053"/>
      <c r="F252" s="1080"/>
      <c r="G252" s="75" t="s">
        <v>219</v>
      </c>
      <c r="H252" s="93" t="s">
        <v>241</v>
      </c>
      <c r="I252" s="193">
        <v>67</v>
      </c>
      <c r="J252" s="1023"/>
      <c r="K252" s="65"/>
      <c r="L252" s="65"/>
      <c r="M252" s="1147"/>
      <c r="N252" s="1147"/>
      <c r="O252" s="1147"/>
      <c r="P252" s="1147"/>
    </row>
    <row r="253" spans="2:21" s="48" customFormat="1" ht="68.25" customHeight="1" x14ac:dyDescent="0.25">
      <c r="B253" s="1023"/>
      <c r="C253" s="1073"/>
      <c r="D253" s="1053"/>
      <c r="E253" s="1053"/>
      <c r="F253" s="1080"/>
      <c r="G253" s="75" t="s">
        <v>218</v>
      </c>
      <c r="H253" s="93" t="s">
        <v>240</v>
      </c>
      <c r="I253" s="193">
        <v>3</v>
      </c>
      <c r="J253" s="1023"/>
      <c r="K253" s="65"/>
      <c r="L253" s="65"/>
      <c r="M253" s="1147"/>
      <c r="N253" s="1147"/>
      <c r="O253" s="1147"/>
      <c r="P253" s="1147"/>
    </row>
    <row r="254" spans="2:21" s="48" customFormat="1" ht="67.5" customHeight="1" x14ac:dyDescent="0.25">
      <c r="B254" s="1023"/>
      <c r="C254" s="1073"/>
      <c r="D254" s="1053"/>
      <c r="E254" s="1053"/>
      <c r="F254" s="1080"/>
      <c r="G254" s="75" t="s">
        <v>217</v>
      </c>
      <c r="H254" s="93" t="s">
        <v>240</v>
      </c>
      <c r="I254" s="193">
        <v>2</v>
      </c>
      <c r="J254" s="1023"/>
      <c r="K254" s="65"/>
      <c r="L254" s="65"/>
      <c r="M254" s="1147"/>
      <c r="N254" s="1147"/>
      <c r="O254" s="1147"/>
      <c r="P254" s="1147"/>
    </row>
    <row r="255" spans="2:21" s="48" customFormat="1" ht="68.25" customHeight="1" x14ac:dyDescent="0.25">
      <c r="B255" s="1023"/>
      <c r="C255" s="1073"/>
      <c r="D255" s="1053"/>
      <c r="E255" s="1053"/>
      <c r="F255" s="1080"/>
      <c r="G255" s="75" t="s">
        <v>216</v>
      </c>
      <c r="H255" s="93" t="s">
        <v>240</v>
      </c>
      <c r="I255" s="193">
        <v>6</v>
      </c>
      <c r="J255" s="1023"/>
      <c r="K255" s="65"/>
      <c r="L255" s="65"/>
      <c r="M255" s="1147"/>
      <c r="N255" s="1147"/>
      <c r="O255" s="1147"/>
      <c r="P255" s="1147"/>
    </row>
    <row r="256" spans="2:21" s="48" customFormat="1" ht="69" customHeight="1" thickBot="1" x14ac:dyDescent="0.3">
      <c r="B256" s="1051"/>
      <c r="C256" s="1072"/>
      <c r="D256" s="1054"/>
      <c r="E256" s="1054"/>
      <c r="F256" s="1081"/>
      <c r="G256" s="75" t="s">
        <v>526</v>
      </c>
      <c r="H256" s="93" t="s">
        <v>240</v>
      </c>
      <c r="I256" s="193" t="s">
        <v>386</v>
      </c>
      <c r="J256" s="1051"/>
      <c r="K256" s="65"/>
      <c r="L256" s="65"/>
      <c r="M256" s="1147"/>
      <c r="N256" s="1147"/>
      <c r="O256" s="1147"/>
      <c r="P256" s="1147"/>
    </row>
    <row r="257" spans="2:21" ht="48.75" customHeight="1" thickBot="1" x14ac:dyDescent="0.3">
      <c r="B257" s="62" t="s">
        <v>174</v>
      </c>
      <c r="C257" s="190" t="s">
        <v>598</v>
      </c>
      <c r="D257" s="190" t="s">
        <v>116</v>
      </c>
      <c r="E257" s="190" t="s">
        <v>116</v>
      </c>
      <c r="F257" s="69" t="s">
        <v>298</v>
      </c>
      <c r="G257" s="75" t="s">
        <v>456</v>
      </c>
      <c r="H257" s="93" t="s">
        <v>241</v>
      </c>
      <c r="I257" s="193">
        <f>I258+I259</f>
        <v>157</v>
      </c>
      <c r="J257" s="62" t="s">
        <v>363</v>
      </c>
      <c r="K257" s="65" t="s">
        <v>199</v>
      </c>
      <c r="L257" s="68">
        <f>M257+N257+O257</f>
        <v>6903.6</v>
      </c>
      <c r="M257" s="261">
        <f>M258+M259</f>
        <v>2230.8000000000002</v>
      </c>
      <c r="N257" s="266">
        <f>N258+N259</f>
        <v>2336.4</v>
      </c>
      <c r="O257" s="257">
        <f>O258+O259</f>
        <v>2336.4</v>
      </c>
      <c r="P257" s="233">
        <f>P258+P259</f>
        <v>2336.4</v>
      </c>
    </row>
    <row r="258" spans="2:21" ht="148.5" customHeight="1" x14ac:dyDescent="0.25">
      <c r="B258" s="62" t="s">
        <v>174</v>
      </c>
      <c r="C258" s="190" t="s">
        <v>598</v>
      </c>
      <c r="D258" s="67">
        <v>10108</v>
      </c>
      <c r="E258" s="190" t="s">
        <v>192</v>
      </c>
      <c r="F258" s="70" t="s">
        <v>376</v>
      </c>
      <c r="G258" s="75" t="s">
        <v>677</v>
      </c>
      <c r="H258" s="93" t="s">
        <v>241</v>
      </c>
      <c r="I258" s="193">
        <v>90</v>
      </c>
      <c r="J258" s="62" t="s">
        <v>363</v>
      </c>
      <c r="K258" s="65" t="s">
        <v>199</v>
      </c>
      <c r="L258" s="65">
        <f>M258+N258+O258</f>
        <v>4356</v>
      </c>
      <c r="M258" s="210">
        <v>1452</v>
      </c>
      <c r="N258" s="287">
        <v>1452</v>
      </c>
      <c r="O258" s="289">
        <v>1452</v>
      </c>
      <c r="P258" s="270">
        <v>1452</v>
      </c>
      <c r="Q258" s="51"/>
    </row>
    <row r="259" spans="2:21" ht="132" customHeight="1" thickBot="1" x14ac:dyDescent="0.3">
      <c r="B259" s="62" t="s">
        <v>174</v>
      </c>
      <c r="C259" s="190" t="s">
        <v>598</v>
      </c>
      <c r="D259" s="67">
        <v>10108</v>
      </c>
      <c r="E259" s="190" t="s">
        <v>622</v>
      </c>
      <c r="F259" s="70" t="s">
        <v>375</v>
      </c>
      <c r="G259" s="75" t="s">
        <v>676</v>
      </c>
      <c r="H259" s="93" t="s">
        <v>241</v>
      </c>
      <c r="I259" s="193">
        <v>67</v>
      </c>
      <c r="J259" s="62" t="s">
        <v>363</v>
      </c>
      <c r="K259" s="65" t="s">
        <v>199</v>
      </c>
      <c r="L259" s="65">
        <f>M259+N259+O259</f>
        <v>2547.6</v>
      </c>
      <c r="M259" s="77">
        <f>884.4-105.6</f>
        <v>778.8</v>
      </c>
      <c r="N259" s="79">
        <v>884.4</v>
      </c>
      <c r="O259" s="200">
        <v>884.4</v>
      </c>
      <c r="P259" s="263">
        <v>884.4</v>
      </c>
      <c r="Q259" s="51"/>
    </row>
    <row r="260" spans="2:21" ht="52.5" customHeight="1" x14ac:dyDescent="0.25">
      <c r="B260" s="62" t="s">
        <v>174</v>
      </c>
      <c r="C260" s="67">
        <v>10108</v>
      </c>
      <c r="D260" s="190" t="s">
        <v>116</v>
      </c>
      <c r="E260" s="190" t="s">
        <v>116</v>
      </c>
      <c r="F260" s="69" t="s">
        <v>297</v>
      </c>
      <c r="G260" s="75" t="s">
        <v>455</v>
      </c>
      <c r="H260" s="93" t="s">
        <v>240</v>
      </c>
      <c r="I260" s="193">
        <f>I261+I262</f>
        <v>5</v>
      </c>
      <c r="J260" s="62" t="s">
        <v>363</v>
      </c>
      <c r="K260" s="65" t="s">
        <v>199</v>
      </c>
      <c r="L260" s="65">
        <f>L261+L262</f>
        <v>3450</v>
      </c>
      <c r="M260" s="215">
        <f>M261+M262</f>
        <v>1150</v>
      </c>
      <c r="N260" s="259">
        <f>N261+N262</f>
        <v>1150</v>
      </c>
      <c r="O260" s="264">
        <f>O261+O262</f>
        <v>1150</v>
      </c>
      <c r="P260" s="220">
        <f>P261+P262</f>
        <v>1150</v>
      </c>
    </row>
    <row r="261" spans="2:21" ht="67.5" customHeight="1" x14ac:dyDescent="0.25">
      <c r="B261" s="62" t="s">
        <v>174</v>
      </c>
      <c r="C261" s="67">
        <v>10108</v>
      </c>
      <c r="D261" s="190">
        <v>27300364</v>
      </c>
      <c r="E261" s="190" t="s">
        <v>192</v>
      </c>
      <c r="F261" s="70" t="s">
        <v>370</v>
      </c>
      <c r="G261" s="75" t="s">
        <v>218</v>
      </c>
      <c r="H261" s="93" t="s">
        <v>240</v>
      </c>
      <c r="I261" s="193" t="s">
        <v>373</v>
      </c>
      <c r="J261" s="62" t="s">
        <v>363</v>
      </c>
      <c r="K261" s="65" t="s">
        <v>199</v>
      </c>
      <c r="L261" s="65">
        <f>M261+N261+O261</f>
        <v>2070</v>
      </c>
      <c r="M261" s="77">
        <v>690</v>
      </c>
      <c r="N261" s="79">
        <v>690</v>
      </c>
      <c r="O261" s="200">
        <v>690</v>
      </c>
      <c r="P261" s="236">
        <v>690</v>
      </c>
    </row>
    <row r="262" spans="2:21" ht="68.25" customHeight="1" thickBot="1" x14ac:dyDescent="0.3">
      <c r="B262" s="62" t="s">
        <v>174</v>
      </c>
      <c r="C262" s="67">
        <v>10108</v>
      </c>
      <c r="D262" s="190">
        <v>27300364</v>
      </c>
      <c r="E262" s="190" t="s">
        <v>192</v>
      </c>
      <c r="F262" s="70" t="s">
        <v>371</v>
      </c>
      <c r="G262" s="75" t="s">
        <v>217</v>
      </c>
      <c r="H262" s="93" t="s">
        <v>240</v>
      </c>
      <c r="I262" s="193" t="s">
        <v>374</v>
      </c>
      <c r="J262" s="62" t="s">
        <v>363</v>
      </c>
      <c r="K262" s="65" t="s">
        <v>199</v>
      </c>
      <c r="L262" s="65">
        <f>M262+N262+O262</f>
        <v>1380</v>
      </c>
      <c r="M262" s="77">
        <v>460</v>
      </c>
      <c r="N262" s="79">
        <v>460</v>
      </c>
      <c r="O262" s="200">
        <v>460</v>
      </c>
      <c r="P262" s="263">
        <v>460</v>
      </c>
    </row>
    <row r="263" spans="2:21" ht="82.5" customHeight="1" x14ac:dyDescent="0.25">
      <c r="B263" s="62" t="s">
        <v>174</v>
      </c>
      <c r="C263" s="67">
        <v>60301</v>
      </c>
      <c r="D263" s="190" t="s">
        <v>116</v>
      </c>
      <c r="E263" s="190" t="s">
        <v>116</v>
      </c>
      <c r="F263" s="69" t="s">
        <v>675</v>
      </c>
      <c r="G263" s="75" t="s">
        <v>454</v>
      </c>
      <c r="H263" s="93" t="s">
        <v>240</v>
      </c>
      <c r="I263" s="193">
        <f>I264+I265</f>
        <v>22</v>
      </c>
      <c r="J263" s="62" t="s">
        <v>363</v>
      </c>
      <c r="K263" s="65" t="s">
        <v>199</v>
      </c>
      <c r="L263" s="65">
        <f>M263+N263+O263</f>
        <v>14400</v>
      </c>
      <c r="M263" s="215">
        <f>M264+M265</f>
        <v>4800</v>
      </c>
      <c r="N263" s="259">
        <f>N264+N265</f>
        <v>4800</v>
      </c>
      <c r="O263" s="264">
        <f>O264+O265</f>
        <v>4800</v>
      </c>
      <c r="P263" s="220">
        <f>P264+P265</f>
        <v>4800</v>
      </c>
    </row>
    <row r="264" spans="2:21" ht="83.25" customHeight="1" x14ac:dyDescent="0.25">
      <c r="B264" s="62" t="s">
        <v>174</v>
      </c>
      <c r="C264" s="67">
        <v>60301</v>
      </c>
      <c r="D264" s="190">
        <v>60301</v>
      </c>
      <c r="E264" s="190" t="s">
        <v>192</v>
      </c>
      <c r="F264" s="70" t="s">
        <v>377</v>
      </c>
      <c r="G264" s="75" t="s">
        <v>453</v>
      </c>
      <c r="H264" s="93" t="s">
        <v>240</v>
      </c>
      <c r="I264" s="193" t="s">
        <v>372</v>
      </c>
      <c r="J264" s="62" t="s">
        <v>363</v>
      </c>
      <c r="K264" s="65" t="s">
        <v>199</v>
      </c>
      <c r="L264" s="65">
        <f>M264+N264+O264</f>
        <v>3600</v>
      </c>
      <c r="M264" s="77">
        <v>1200</v>
      </c>
      <c r="N264" s="79">
        <v>1200</v>
      </c>
      <c r="O264" s="200">
        <v>1200</v>
      </c>
      <c r="P264" s="236">
        <v>1200</v>
      </c>
    </row>
    <row r="265" spans="2:21" ht="67.5" customHeight="1" thickBot="1" x14ac:dyDescent="0.3">
      <c r="B265" s="180" t="s">
        <v>174</v>
      </c>
      <c r="C265" s="185">
        <v>60301</v>
      </c>
      <c r="D265" s="184">
        <v>60301</v>
      </c>
      <c r="E265" s="184" t="s">
        <v>192</v>
      </c>
      <c r="F265" s="71" t="s">
        <v>378</v>
      </c>
      <c r="G265" s="95" t="s">
        <v>526</v>
      </c>
      <c r="H265" s="96" t="s">
        <v>240</v>
      </c>
      <c r="I265" s="97" t="s">
        <v>386</v>
      </c>
      <c r="J265" s="180" t="s">
        <v>363</v>
      </c>
      <c r="K265" s="83" t="s">
        <v>199</v>
      </c>
      <c r="L265" s="83">
        <f>M265+N265+O265</f>
        <v>10800</v>
      </c>
      <c r="M265" s="208">
        <v>3600</v>
      </c>
      <c r="N265" s="286">
        <v>3600</v>
      </c>
      <c r="O265" s="288">
        <v>3600</v>
      </c>
      <c r="P265" s="263">
        <v>3600</v>
      </c>
    </row>
    <row r="266" spans="2:21" ht="47.25" x14ac:dyDescent="0.25">
      <c r="B266" s="123" t="s">
        <v>576</v>
      </c>
      <c r="C266" s="190" t="s">
        <v>116</v>
      </c>
      <c r="D266" s="190" t="s">
        <v>116</v>
      </c>
      <c r="E266" s="190" t="s">
        <v>116</v>
      </c>
      <c r="F266" s="116" t="s">
        <v>578</v>
      </c>
      <c r="G266" s="121" t="s">
        <v>580</v>
      </c>
      <c r="H266" s="53" t="s">
        <v>240</v>
      </c>
      <c r="I266" s="120" t="s">
        <v>374</v>
      </c>
      <c r="J266" s="120" t="s">
        <v>363</v>
      </c>
      <c r="K266" s="120"/>
      <c r="L266" s="120"/>
      <c r="M266" s="275">
        <f>M268+M269</f>
        <v>36126.990000000005</v>
      </c>
      <c r="N266" s="275">
        <v>0</v>
      </c>
      <c r="O266" s="275">
        <v>0</v>
      </c>
      <c r="P266" s="275">
        <v>0</v>
      </c>
    </row>
    <row r="267" spans="2:21" ht="48" thickBot="1" x14ac:dyDescent="0.3">
      <c r="B267" s="123" t="s">
        <v>576</v>
      </c>
      <c r="C267" s="118" t="s">
        <v>295</v>
      </c>
      <c r="D267" s="190" t="s">
        <v>116</v>
      </c>
      <c r="E267" s="190" t="s">
        <v>116</v>
      </c>
      <c r="F267" s="116" t="s">
        <v>588</v>
      </c>
      <c r="G267" s="117" t="s">
        <v>580</v>
      </c>
      <c r="H267" s="53" t="s">
        <v>240</v>
      </c>
      <c r="I267" s="118">
        <f>I268+I269</f>
        <v>2</v>
      </c>
      <c r="J267" s="120" t="s">
        <v>363</v>
      </c>
      <c r="K267" s="120"/>
      <c r="L267" s="120"/>
      <c r="M267" s="264">
        <f>M268+M269</f>
        <v>36126.990000000005</v>
      </c>
      <c r="N267" s="260"/>
      <c r="O267" s="260"/>
      <c r="P267" s="274"/>
    </row>
    <row r="268" spans="2:21" ht="47.25" x14ac:dyDescent="0.25">
      <c r="B268" s="98" t="s">
        <v>576</v>
      </c>
      <c r="C268" s="99" t="s">
        <v>295</v>
      </c>
      <c r="D268" s="99">
        <v>27301823</v>
      </c>
      <c r="E268" s="101" t="s">
        <v>581</v>
      </c>
      <c r="F268" s="100" t="s">
        <v>613</v>
      </c>
      <c r="G268" s="100" t="s">
        <v>580</v>
      </c>
      <c r="H268" s="108" t="s">
        <v>240</v>
      </c>
      <c r="I268" s="99">
        <v>1</v>
      </c>
      <c r="J268" s="102" t="s">
        <v>363</v>
      </c>
      <c r="K268" s="99"/>
      <c r="L268" s="99"/>
      <c r="M268" s="271">
        <f>28700+576.99</f>
        <v>29276.99</v>
      </c>
      <c r="N268" s="203"/>
      <c r="O268" s="203"/>
      <c r="P268" s="272"/>
    </row>
    <row r="269" spans="2:21" ht="48" thickBot="1" x14ac:dyDescent="0.3">
      <c r="B269" s="103" t="s">
        <v>576</v>
      </c>
      <c r="C269" s="104" t="s">
        <v>295</v>
      </c>
      <c r="D269" s="104" t="s">
        <v>579</v>
      </c>
      <c r="E269" s="105" t="s">
        <v>582</v>
      </c>
      <c r="F269" s="109" t="s">
        <v>594</v>
      </c>
      <c r="G269" s="107" t="s">
        <v>580</v>
      </c>
      <c r="H269" s="94" t="s">
        <v>240</v>
      </c>
      <c r="I269" s="104">
        <v>1</v>
      </c>
      <c r="J269" s="106" t="s">
        <v>363</v>
      </c>
      <c r="K269" s="104"/>
      <c r="L269" s="104"/>
      <c r="M269" s="213">
        <v>6850</v>
      </c>
      <c r="N269" s="214"/>
      <c r="O269" s="214"/>
      <c r="P269" s="273"/>
    </row>
    <row r="270" spans="2:21" x14ac:dyDescent="0.25">
      <c r="M270" s="276">
        <f>M14+M45+M111+M163+M251+M267</f>
        <v>655516.92303000006</v>
      </c>
      <c r="N270" s="276">
        <f>N14+N45+N111+N163+N251+N267</f>
        <v>592834.00400000007</v>
      </c>
      <c r="O270" s="276">
        <f>O14+O45+O111+O163+O251+O267</f>
        <v>479133.39800000004</v>
      </c>
      <c r="P270" s="276">
        <f>P14+P45+P111+P163+P251+P267</f>
        <v>485967.99800000002</v>
      </c>
      <c r="T270" s="51">
        <f>M251+M163+M111+M45+M14+M266</f>
        <v>655516.92302999995</v>
      </c>
      <c r="U270" s="51">
        <f>T270-M270</f>
        <v>0</v>
      </c>
    </row>
    <row r="271" spans="2:21" x14ac:dyDescent="0.25">
      <c r="M271" s="37">
        <v>655516.92391999997</v>
      </c>
      <c r="N271" s="37">
        <v>592834</v>
      </c>
      <c r="O271" s="37">
        <v>479133.4</v>
      </c>
      <c r="P271" s="37">
        <v>485968</v>
      </c>
    </row>
    <row r="272" spans="2:21" x14ac:dyDescent="0.25">
      <c r="M272" s="51">
        <f>M270-M271</f>
        <v>-8.8999990839511156E-4</v>
      </c>
      <c r="N272" s="51">
        <f>N270-N271</f>
        <v>4.0000000735744834E-3</v>
      </c>
      <c r="O272" s="51">
        <f>O270-O271</f>
        <v>-1.9999999785795808E-3</v>
      </c>
      <c r="P272" s="51">
        <f>P270-P271</f>
        <v>-1.9999999785795808E-3</v>
      </c>
    </row>
    <row r="280" spans="6:6" x14ac:dyDescent="0.25">
      <c r="F280" s="49"/>
    </row>
  </sheetData>
  <mergeCells count="137">
    <mergeCell ref="M219:M223"/>
    <mergeCell ref="N219:N223"/>
    <mergeCell ref="O219:O223"/>
    <mergeCell ref="P219:P223"/>
    <mergeCell ref="M163:M167"/>
    <mergeCell ref="M251:M256"/>
    <mergeCell ref="N251:N256"/>
    <mergeCell ref="O251:O256"/>
    <mergeCell ref="P251:P256"/>
    <mergeCell ref="B163:B167"/>
    <mergeCell ref="C163:C167"/>
    <mergeCell ref="D163:D167"/>
    <mergeCell ref="E163:E167"/>
    <mergeCell ref="F163:F167"/>
    <mergeCell ref="J163:J167"/>
    <mergeCell ref="N163:N167"/>
    <mergeCell ref="O163:O167"/>
    <mergeCell ref="P163:P167"/>
    <mergeCell ref="B251:B256"/>
    <mergeCell ref="C251:C256"/>
    <mergeCell ref="D251:D256"/>
    <mergeCell ref="E251:E256"/>
    <mergeCell ref="F251:F256"/>
    <mergeCell ref="J251:J256"/>
    <mergeCell ref="J219:J223"/>
    <mergeCell ref="P128:P129"/>
    <mergeCell ref="B121:B123"/>
    <mergeCell ref="C121:C123"/>
    <mergeCell ref="D121:D123"/>
    <mergeCell ref="E121:E123"/>
    <mergeCell ref="J121:J123"/>
    <mergeCell ref="M121:M123"/>
    <mergeCell ref="N121:N123"/>
    <mergeCell ref="O121:O123"/>
    <mergeCell ref="P121:P123"/>
    <mergeCell ref="B128:B129"/>
    <mergeCell ref="C128:C129"/>
    <mergeCell ref="D128:D129"/>
    <mergeCell ref="E128:E129"/>
    <mergeCell ref="J128:J129"/>
    <mergeCell ref="M128:M129"/>
    <mergeCell ref="N128:N129"/>
    <mergeCell ref="O128:O129"/>
    <mergeCell ref="P111:P115"/>
    <mergeCell ref="B117:B118"/>
    <mergeCell ref="C117:C118"/>
    <mergeCell ref="D117:D118"/>
    <mergeCell ref="E117:E118"/>
    <mergeCell ref="J117:J118"/>
    <mergeCell ref="M117:M118"/>
    <mergeCell ref="N117:N118"/>
    <mergeCell ref="O117:O118"/>
    <mergeCell ref="P117:P118"/>
    <mergeCell ref="B111:B115"/>
    <mergeCell ref="C111:C115"/>
    <mergeCell ref="D111:D115"/>
    <mergeCell ref="E111:E115"/>
    <mergeCell ref="F111:F115"/>
    <mergeCell ref="J111:J115"/>
    <mergeCell ref="M111:M115"/>
    <mergeCell ref="N111:N115"/>
    <mergeCell ref="O111:O115"/>
    <mergeCell ref="B64:B66"/>
    <mergeCell ref="C64:C66"/>
    <mergeCell ref="D64:D66"/>
    <mergeCell ref="E64:E66"/>
    <mergeCell ref="J64:J66"/>
    <mergeCell ref="M64:M66"/>
    <mergeCell ref="N64:N66"/>
    <mergeCell ref="O64:O66"/>
    <mergeCell ref="P64:P66"/>
    <mergeCell ref="B57:B58"/>
    <mergeCell ref="C57:C58"/>
    <mergeCell ref="D57:D58"/>
    <mergeCell ref="E57:E58"/>
    <mergeCell ref="M57:M58"/>
    <mergeCell ref="N57:N58"/>
    <mergeCell ref="O57:O58"/>
    <mergeCell ref="P57:P58"/>
    <mergeCell ref="B62:B63"/>
    <mergeCell ref="C62:C63"/>
    <mergeCell ref="D62:D63"/>
    <mergeCell ref="E62:E63"/>
    <mergeCell ref="J62:J63"/>
    <mergeCell ref="M62:M63"/>
    <mergeCell ref="N62:N63"/>
    <mergeCell ref="O62:O63"/>
    <mergeCell ref="P62:P63"/>
    <mergeCell ref="B52:B54"/>
    <mergeCell ref="C52:C54"/>
    <mergeCell ref="D52:D54"/>
    <mergeCell ref="E52:E54"/>
    <mergeCell ref="M52:M54"/>
    <mergeCell ref="N52:N54"/>
    <mergeCell ref="O52:O54"/>
    <mergeCell ref="P52:P54"/>
    <mergeCell ref="B55:B56"/>
    <mergeCell ref="C55:C56"/>
    <mergeCell ref="D55:D56"/>
    <mergeCell ref="E55:E56"/>
    <mergeCell ref="M55:M56"/>
    <mergeCell ref="N55:N56"/>
    <mergeCell ref="O55:O56"/>
    <mergeCell ref="P55:P56"/>
    <mergeCell ref="B37:B38"/>
    <mergeCell ref="C37:C38"/>
    <mergeCell ref="D37:D38"/>
    <mergeCell ref="E37:E38"/>
    <mergeCell ref="M37:M38"/>
    <mergeCell ref="N37:N38"/>
    <mergeCell ref="O37:O38"/>
    <mergeCell ref="P37:P38"/>
    <mergeCell ref="B45:B50"/>
    <mergeCell ref="C45:C50"/>
    <mergeCell ref="D45:D50"/>
    <mergeCell ref="E45:E50"/>
    <mergeCell ref="F45:F50"/>
    <mergeCell ref="J45:J50"/>
    <mergeCell ref="M45:M50"/>
    <mergeCell ref="N45:N50"/>
    <mergeCell ref="O45:O50"/>
    <mergeCell ref="P45:P50"/>
    <mergeCell ref="E10:E11"/>
    <mergeCell ref="B10:B11"/>
    <mergeCell ref="C10:C11"/>
    <mergeCell ref="F10:F11"/>
    <mergeCell ref="G10:P10"/>
    <mergeCell ref="B13:B18"/>
    <mergeCell ref="C13:C18"/>
    <mergeCell ref="D13:D18"/>
    <mergeCell ref="E13:E18"/>
    <mergeCell ref="F13:F18"/>
    <mergeCell ref="J14:J18"/>
    <mergeCell ref="M14:M18"/>
    <mergeCell ref="N14:N18"/>
    <mergeCell ref="O14:O18"/>
    <mergeCell ref="P14:P18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33" fitToHeight="0" orientation="portrait" r:id="rId1"/>
  <headerFooter differentFirst="1" alignWithMargins="0">
    <oddHeader>&amp;C&amp;P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S22"/>
  <sheetViews>
    <sheetView workbookViewId="0">
      <selection activeCell="H7" sqref="H7:H8"/>
    </sheetView>
  </sheetViews>
  <sheetFormatPr defaultColWidth="8.85546875" defaultRowHeight="15.75" x14ac:dyDescent="0.25"/>
  <cols>
    <col min="1" max="1" width="15.140625" style="36" customWidth="1"/>
    <col min="2" max="2" width="14" style="36" customWidth="1"/>
    <col min="3" max="3" width="8.85546875" style="36"/>
    <col min="4" max="4" width="9.7109375" style="36" customWidth="1"/>
    <col min="5" max="5" width="15.28515625" style="36" customWidth="1"/>
    <col min="6" max="6" width="46" style="36" customWidth="1"/>
    <col min="7" max="7" width="20.42578125" style="36" customWidth="1"/>
    <col min="8" max="8" width="8.85546875" style="36"/>
    <col min="9" max="9" width="11.7109375" style="36" customWidth="1"/>
    <col min="10" max="10" width="12.85546875" style="36" customWidth="1"/>
    <col min="11" max="11" width="10.5703125" style="36" bestFit="1" customWidth="1"/>
    <col min="12" max="12" width="18.7109375" style="36" customWidth="1"/>
    <col min="13" max="13" width="15.42578125" style="36" customWidth="1"/>
    <col min="14" max="14" width="18.28515625" style="36" customWidth="1"/>
    <col min="15" max="15" width="11.7109375" style="36" customWidth="1"/>
    <col min="16" max="17" width="13.85546875" style="36" customWidth="1"/>
    <col min="18" max="18" width="13.28515625" style="36" bestFit="1" customWidth="1"/>
    <col min="19" max="19" width="13.7109375" style="36" bestFit="1" customWidth="1"/>
    <col min="20" max="16384" width="8.85546875" style="36"/>
  </cols>
  <sheetData>
    <row r="1" spans="1:19" ht="18.75" x14ac:dyDescent="0.25">
      <c r="A1" s="31" t="s">
        <v>128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</row>
    <row r="2" spans="1:19" ht="18.75" x14ac:dyDescent="0.25">
      <c r="A2" s="31" t="s">
        <v>126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</row>
    <row r="3" spans="1:19" ht="18.75" x14ac:dyDescent="0.25">
      <c r="A3" s="31" t="s">
        <v>161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</row>
    <row r="4" spans="1:19" x14ac:dyDescent="0.25">
      <c r="A4" s="23" t="s">
        <v>162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</row>
    <row r="6" spans="1:19" ht="31.5" x14ac:dyDescent="0.25">
      <c r="A6" s="1187" t="s">
        <v>151</v>
      </c>
      <c r="B6" s="1187" t="s">
        <v>4</v>
      </c>
      <c r="C6" s="1187" t="s">
        <v>147</v>
      </c>
      <c r="D6" s="40" t="s">
        <v>50</v>
      </c>
      <c r="E6" s="40"/>
      <c r="F6" s="1187" t="s">
        <v>149</v>
      </c>
      <c r="G6" s="40" t="s">
        <v>17</v>
      </c>
      <c r="H6" s="40"/>
      <c r="I6" s="40"/>
      <c r="J6" s="40"/>
      <c r="K6" s="40"/>
      <c r="L6" s="40" t="s">
        <v>90</v>
      </c>
      <c r="M6" s="40"/>
      <c r="N6" s="40" t="s">
        <v>153</v>
      </c>
      <c r="O6" s="40"/>
      <c r="P6" s="40"/>
      <c r="Q6" s="40"/>
      <c r="R6" s="40"/>
      <c r="S6" s="40"/>
    </row>
    <row r="7" spans="1:19" ht="31.5" x14ac:dyDescent="0.25">
      <c r="A7" s="1189"/>
      <c r="B7" s="1189"/>
      <c r="C7" s="1189"/>
      <c r="D7" s="1187" t="s">
        <v>51</v>
      </c>
      <c r="E7" s="1187" t="s">
        <v>52</v>
      </c>
      <c r="F7" s="1189"/>
      <c r="G7" s="1187" t="s">
        <v>18</v>
      </c>
      <c r="H7" s="1187" t="s">
        <v>148</v>
      </c>
      <c r="I7" s="40" t="s">
        <v>150</v>
      </c>
      <c r="J7" s="40"/>
      <c r="K7" s="40"/>
      <c r="L7" s="1187" t="s">
        <v>156</v>
      </c>
      <c r="M7" s="1187" t="s">
        <v>157</v>
      </c>
      <c r="N7" s="40" t="s">
        <v>92</v>
      </c>
      <c r="O7" s="40"/>
      <c r="P7" s="40"/>
      <c r="Q7" s="40"/>
      <c r="R7" s="40" t="s">
        <v>93</v>
      </c>
      <c r="S7" s="40"/>
    </row>
    <row r="8" spans="1:19" ht="63" x14ac:dyDescent="0.25">
      <c r="A8" s="1188"/>
      <c r="B8" s="1188"/>
      <c r="C8" s="1188"/>
      <c r="D8" s="1188"/>
      <c r="E8" s="1188"/>
      <c r="F8" s="1188"/>
      <c r="G8" s="1188"/>
      <c r="H8" s="1188"/>
      <c r="I8" s="25" t="s">
        <v>154</v>
      </c>
      <c r="J8" s="25" t="s">
        <v>127</v>
      </c>
      <c r="K8" s="25" t="s">
        <v>155</v>
      </c>
      <c r="L8" s="1188"/>
      <c r="M8" s="1188"/>
      <c r="N8" s="25" t="s">
        <v>158</v>
      </c>
      <c r="O8" s="25" t="s">
        <v>154</v>
      </c>
      <c r="P8" s="25" t="s">
        <v>127</v>
      </c>
      <c r="Q8" s="25" t="s">
        <v>91</v>
      </c>
      <c r="R8" s="25" t="s">
        <v>159</v>
      </c>
      <c r="S8" s="25" t="s">
        <v>160</v>
      </c>
    </row>
    <row r="9" spans="1:19" x14ac:dyDescent="0.25">
      <c r="A9" s="32">
        <v>1</v>
      </c>
      <c r="B9" s="32">
        <v>2</v>
      </c>
      <c r="C9" s="32">
        <v>3</v>
      </c>
      <c r="D9" s="32">
        <v>4</v>
      </c>
      <c r="E9" s="32">
        <v>5</v>
      </c>
      <c r="F9" s="32">
        <v>6</v>
      </c>
      <c r="G9" s="32">
        <v>7</v>
      </c>
      <c r="H9" s="35">
        <v>8</v>
      </c>
      <c r="I9" s="35">
        <v>9</v>
      </c>
      <c r="J9" s="35">
        <v>10</v>
      </c>
      <c r="K9" s="35">
        <v>11</v>
      </c>
      <c r="L9" s="35">
        <v>12</v>
      </c>
      <c r="M9" s="35">
        <v>13</v>
      </c>
      <c r="N9" s="35">
        <v>14</v>
      </c>
      <c r="O9" s="35">
        <v>15</v>
      </c>
      <c r="P9" s="35">
        <v>16</v>
      </c>
      <c r="Q9" s="35">
        <v>17</v>
      </c>
      <c r="R9" s="35">
        <v>18</v>
      </c>
      <c r="S9" s="35">
        <v>19</v>
      </c>
    </row>
    <row r="10" spans="1:19" x14ac:dyDescent="0.25">
      <c r="A10" s="25" t="s">
        <v>21</v>
      </c>
      <c r="B10" s="25" t="s">
        <v>116</v>
      </c>
      <c r="C10" s="25" t="s">
        <v>116</v>
      </c>
      <c r="D10" s="25" t="s">
        <v>116</v>
      </c>
      <c r="E10" s="25" t="s">
        <v>116</v>
      </c>
      <c r="F10" s="33" t="s">
        <v>56</v>
      </c>
      <c r="G10" s="34"/>
      <c r="H10" s="39"/>
      <c r="I10" s="39"/>
      <c r="J10" s="39"/>
      <c r="K10" s="39"/>
      <c r="L10" s="42"/>
      <c r="M10" s="42"/>
      <c r="N10" s="41"/>
      <c r="O10" s="41"/>
      <c r="P10" s="41"/>
      <c r="Q10" s="41"/>
      <c r="R10" s="41"/>
      <c r="S10" s="41"/>
    </row>
    <row r="11" spans="1:19" x14ac:dyDescent="0.25">
      <c r="A11" s="25" t="s">
        <v>54</v>
      </c>
      <c r="B11" s="25" t="s">
        <v>55</v>
      </c>
      <c r="C11" s="25"/>
      <c r="D11" s="25"/>
      <c r="E11" s="25"/>
      <c r="F11" s="33" t="s">
        <v>24</v>
      </c>
      <c r="G11" s="34"/>
      <c r="H11" s="39"/>
      <c r="I11" s="39"/>
      <c r="J11" s="39"/>
      <c r="K11" s="39"/>
      <c r="L11" s="42"/>
      <c r="M11" s="42"/>
      <c r="N11" s="41"/>
      <c r="O11" s="41"/>
      <c r="P11" s="41"/>
      <c r="Q11" s="41"/>
      <c r="R11" s="41"/>
      <c r="S11" s="41"/>
    </row>
    <row r="12" spans="1:19" x14ac:dyDescent="0.25">
      <c r="A12" s="25" t="s">
        <v>54</v>
      </c>
      <c r="B12" s="25" t="s">
        <v>55</v>
      </c>
      <c r="C12" s="25"/>
      <c r="D12" s="25"/>
      <c r="E12" s="25"/>
      <c r="F12" s="33" t="s">
        <v>7</v>
      </c>
      <c r="G12" s="34"/>
      <c r="H12" s="39"/>
      <c r="I12" s="39"/>
      <c r="J12" s="39"/>
      <c r="K12" s="39"/>
      <c r="L12" s="42"/>
      <c r="M12" s="42"/>
      <c r="N12" s="41"/>
      <c r="O12" s="41"/>
      <c r="P12" s="41"/>
      <c r="Q12" s="41"/>
      <c r="R12" s="41"/>
      <c r="S12" s="41"/>
    </row>
    <row r="13" spans="1:19" x14ac:dyDescent="0.25">
      <c r="A13" s="25" t="s">
        <v>54</v>
      </c>
      <c r="B13" s="25" t="s">
        <v>55</v>
      </c>
      <c r="C13" s="25"/>
      <c r="D13" s="25"/>
      <c r="E13" s="25"/>
      <c r="F13" s="33" t="s">
        <v>8</v>
      </c>
      <c r="G13" s="34"/>
      <c r="H13" s="39"/>
      <c r="I13" s="39"/>
      <c r="J13" s="39"/>
      <c r="K13" s="39"/>
      <c r="L13" s="42"/>
      <c r="M13" s="42"/>
      <c r="N13" s="41"/>
      <c r="O13" s="41"/>
      <c r="P13" s="41"/>
      <c r="Q13" s="41"/>
      <c r="R13" s="41"/>
      <c r="S13" s="41"/>
    </row>
    <row r="14" spans="1:19" x14ac:dyDescent="0.25">
      <c r="A14" s="25" t="s">
        <v>54</v>
      </c>
      <c r="B14" s="25" t="s">
        <v>55</v>
      </c>
      <c r="C14" s="25"/>
      <c r="D14" s="25"/>
      <c r="E14" s="25"/>
      <c r="F14" s="33" t="s">
        <v>1</v>
      </c>
      <c r="G14" s="34"/>
      <c r="H14" s="39"/>
      <c r="I14" s="39"/>
      <c r="J14" s="39"/>
      <c r="K14" s="39"/>
      <c r="L14" s="42"/>
      <c r="M14" s="42"/>
      <c r="N14" s="41"/>
      <c r="O14" s="41"/>
      <c r="P14" s="41"/>
      <c r="Q14" s="41"/>
      <c r="R14" s="41"/>
      <c r="S14" s="41"/>
    </row>
    <row r="15" spans="1:19" x14ac:dyDescent="0.25">
      <c r="A15" s="25" t="s">
        <v>54</v>
      </c>
      <c r="B15" s="25" t="s">
        <v>55</v>
      </c>
      <c r="C15" s="25"/>
      <c r="D15" s="25"/>
      <c r="E15" s="25"/>
      <c r="F15" s="33" t="s">
        <v>9</v>
      </c>
      <c r="G15" s="34"/>
      <c r="H15" s="39"/>
      <c r="I15" s="39"/>
      <c r="J15" s="39"/>
      <c r="K15" s="39"/>
      <c r="L15" s="42"/>
      <c r="M15" s="42"/>
      <c r="N15" s="41"/>
      <c r="O15" s="41"/>
      <c r="P15" s="41"/>
      <c r="Q15" s="41"/>
      <c r="R15" s="41"/>
      <c r="S15" s="41"/>
    </row>
    <row r="16" spans="1:19" x14ac:dyDescent="0.25">
      <c r="A16" s="25" t="s">
        <v>54</v>
      </c>
      <c r="B16" s="25" t="s">
        <v>59</v>
      </c>
      <c r="C16" s="25"/>
      <c r="D16" s="25"/>
      <c r="E16" s="25"/>
      <c r="F16" s="33" t="s">
        <v>29</v>
      </c>
      <c r="G16" s="34"/>
      <c r="H16" s="39"/>
      <c r="I16" s="39"/>
      <c r="J16" s="39"/>
      <c r="K16" s="39"/>
      <c r="L16" s="42"/>
      <c r="M16" s="42"/>
      <c r="N16" s="41"/>
      <c r="O16" s="41"/>
      <c r="P16" s="41"/>
      <c r="Q16" s="41"/>
      <c r="R16" s="41"/>
      <c r="S16" s="41"/>
    </row>
    <row r="17" spans="1:19" x14ac:dyDescent="0.25">
      <c r="A17" s="25" t="s">
        <v>54</v>
      </c>
      <c r="B17" s="25" t="s">
        <v>59</v>
      </c>
      <c r="C17" s="25"/>
      <c r="D17" s="25"/>
      <c r="E17" s="25"/>
      <c r="F17" s="33" t="s">
        <v>7</v>
      </c>
      <c r="G17" s="34"/>
      <c r="H17" s="39"/>
      <c r="I17" s="39"/>
      <c r="J17" s="39"/>
      <c r="K17" s="39"/>
      <c r="L17" s="42"/>
      <c r="M17" s="42"/>
      <c r="N17" s="41"/>
      <c r="O17" s="41"/>
      <c r="P17" s="41"/>
      <c r="Q17" s="41"/>
      <c r="R17" s="41"/>
      <c r="S17" s="41"/>
    </row>
    <row r="18" spans="1:19" x14ac:dyDescent="0.25">
      <c r="A18" s="25" t="s">
        <v>54</v>
      </c>
      <c r="B18" s="25" t="s">
        <v>59</v>
      </c>
      <c r="C18" s="25"/>
      <c r="D18" s="25"/>
      <c r="E18" s="25"/>
      <c r="F18" s="33" t="s">
        <v>8</v>
      </c>
      <c r="G18" s="34"/>
      <c r="H18" s="39"/>
      <c r="I18" s="39"/>
      <c r="J18" s="39"/>
      <c r="K18" s="39"/>
      <c r="L18" s="42"/>
      <c r="M18" s="42"/>
      <c r="N18" s="41"/>
      <c r="O18" s="41"/>
      <c r="P18" s="41"/>
      <c r="Q18" s="41"/>
      <c r="R18" s="41"/>
      <c r="S18" s="41"/>
    </row>
    <row r="19" spans="1:19" x14ac:dyDescent="0.25">
      <c r="A19" s="25" t="s">
        <v>54</v>
      </c>
      <c r="B19" s="25" t="s">
        <v>59</v>
      </c>
      <c r="C19" s="25"/>
      <c r="D19" s="25"/>
      <c r="E19" s="25"/>
      <c r="F19" s="33" t="s">
        <v>1</v>
      </c>
      <c r="G19" s="34"/>
      <c r="H19" s="39"/>
      <c r="I19" s="39"/>
      <c r="J19" s="39"/>
      <c r="K19" s="39"/>
      <c r="L19" s="42"/>
      <c r="M19" s="42"/>
      <c r="N19" s="41"/>
      <c r="O19" s="41"/>
      <c r="P19" s="41"/>
      <c r="Q19" s="41"/>
      <c r="R19" s="41"/>
      <c r="S19" s="41"/>
    </row>
    <row r="20" spans="1:19" x14ac:dyDescent="0.25">
      <c r="A20" s="25" t="s">
        <v>54</v>
      </c>
      <c r="B20" s="25" t="s">
        <v>59</v>
      </c>
      <c r="C20" s="25"/>
      <c r="D20" s="25"/>
      <c r="E20" s="25"/>
      <c r="F20" s="33" t="s">
        <v>9</v>
      </c>
      <c r="G20" s="34"/>
      <c r="H20" s="39"/>
      <c r="I20" s="39"/>
      <c r="J20" s="39"/>
      <c r="K20" s="39"/>
      <c r="L20" s="42"/>
      <c r="M20" s="42"/>
      <c r="N20" s="41"/>
      <c r="O20" s="41"/>
      <c r="P20" s="41"/>
      <c r="Q20" s="41"/>
      <c r="R20" s="41"/>
      <c r="S20" s="41"/>
    </row>
    <row r="21" spans="1:19" ht="31.5" x14ac:dyDescent="0.25">
      <c r="A21" s="25" t="s">
        <v>54</v>
      </c>
      <c r="B21" s="25" t="s">
        <v>116</v>
      </c>
      <c r="C21" s="25" t="s">
        <v>116</v>
      </c>
      <c r="D21" s="25" t="s">
        <v>116</v>
      </c>
      <c r="E21" s="25" t="s">
        <v>116</v>
      </c>
      <c r="F21" s="33" t="s">
        <v>57</v>
      </c>
      <c r="G21" s="34"/>
      <c r="H21" s="39"/>
      <c r="I21" s="39"/>
      <c r="J21" s="39"/>
      <c r="K21" s="39"/>
      <c r="L21" s="42"/>
      <c r="M21" s="42"/>
      <c r="N21" s="41"/>
      <c r="O21" s="41"/>
      <c r="P21" s="41"/>
      <c r="Q21" s="41"/>
      <c r="R21" s="41"/>
      <c r="S21" s="41"/>
    </row>
    <row r="22" spans="1:19" x14ac:dyDescent="0.25">
      <c r="A22" s="25" t="s">
        <v>35</v>
      </c>
      <c r="B22" s="25" t="s">
        <v>36</v>
      </c>
      <c r="C22" s="25"/>
      <c r="D22" s="25"/>
      <c r="E22" s="25"/>
      <c r="F22" s="33" t="s">
        <v>35</v>
      </c>
      <c r="G22" s="34"/>
      <c r="H22" s="39"/>
      <c r="I22" s="39"/>
      <c r="J22" s="39"/>
      <c r="K22" s="39"/>
      <c r="L22" s="42"/>
      <c r="M22" s="42"/>
      <c r="N22" s="41"/>
      <c r="O22" s="41"/>
      <c r="P22" s="41"/>
      <c r="Q22" s="41"/>
      <c r="R22" s="41"/>
      <c r="S22" s="41"/>
    </row>
  </sheetData>
  <mergeCells count="10">
    <mergeCell ref="M7:M8"/>
    <mergeCell ref="A6:A8"/>
    <mergeCell ref="B6:B8"/>
    <mergeCell ref="C6:C8"/>
    <mergeCell ref="F6:F8"/>
    <mergeCell ref="D7:D8"/>
    <mergeCell ref="E7:E8"/>
    <mergeCell ref="G7:G8"/>
    <mergeCell ref="H7:H8"/>
    <mergeCell ref="L7:L8"/>
  </mergeCells>
  <printOptions horizontalCentered="1"/>
  <pageMargins left="0.78740157480314965" right="0.78740157480314965" top="1.1811023622047245" bottom="0.59055118110236227" header="0.31496062992125984" footer="0.31496062992125984"/>
  <pageSetup paperSize="9" scale="45" fitToHeight="0" orientation="landscape" r:id="rId1"/>
  <headerFooter differentFirst="1">
    <oddHeader>&amp;C&amp;P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H18"/>
  <sheetViews>
    <sheetView workbookViewId="0"/>
  </sheetViews>
  <sheetFormatPr defaultColWidth="8.85546875" defaultRowHeight="15.75" x14ac:dyDescent="0.25"/>
  <cols>
    <col min="1" max="1" width="21" style="36" customWidth="1"/>
    <col min="2" max="2" width="30.5703125" style="36" customWidth="1"/>
    <col min="3" max="3" width="26" style="36" customWidth="1"/>
    <col min="4" max="4" width="16.85546875" style="36" customWidth="1"/>
    <col min="5" max="5" width="9.7109375" style="36" bestFit="1" customWidth="1"/>
    <col min="6" max="6" width="12.5703125" style="36" customWidth="1"/>
    <col min="7" max="7" width="11.7109375" style="36" customWidth="1"/>
    <col min="8" max="8" width="11.140625" style="36" customWidth="1"/>
    <col min="9" max="16384" width="8.85546875" style="36"/>
  </cols>
  <sheetData>
    <row r="1" spans="1:8" ht="18.75" x14ac:dyDescent="0.25">
      <c r="A1" s="24" t="s">
        <v>170</v>
      </c>
      <c r="B1" s="38"/>
      <c r="C1" s="38"/>
      <c r="D1" s="38"/>
      <c r="E1" s="38"/>
      <c r="F1" s="38"/>
      <c r="G1" s="38"/>
      <c r="H1" s="38"/>
    </row>
    <row r="2" spans="1:8" ht="18.75" x14ac:dyDescent="0.25">
      <c r="A2" s="24" t="s">
        <v>171</v>
      </c>
      <c r="B2" s="38"/>
      <c r="C2" s="38"/>
      <c r="D2" s="38"/>
      <c r="E2" s="38"/>
      <c r="F2" s="38"/>
      <c r="G2" s="38"/>
      <c r="H2" s="38"/>
    </row>
    <row r="4" spans="1:8" ht="26.45" customHeight="1" x14ac:dyDescent="0.25">
      <c r="A4" s="1187" t="s">
        <v>169</v>
      </c>
      <c r="B4" s="1187" t="s">
        <v>112</v>
      </c>
      <c r="C4" s="1187" t="s">
        <v>113</v>
      </c>
      <c r="D4" s="1187" t="s">
        <v>148</v>
      </c>
      <c r="E4" s="1187" t="s">
        <v>114</v>
      </c>
      <c r="F4" s="40" t="s">
        <v>115</v>
      </c>
      <c r="G4" s="40"/>
      <c r="H4" s="1187" t="s">
        <v>120</v>
      </c>
    </row>
    <row r="5" spans="1:8" ht="26.45" customHeight="1" x14ac:dyDescent="0.25">
      <c r="A5" s="1188"/>
      <c r="B5" s="1188"/>
      <c r="C5" s="1188"/>
      <c r="D5" s="1188"/>
      <c r="E5" s="1188"/>
      <c r="F5" s="25" t="s">
        <v>163</v>
      </c>
      <c r="G5" s="25" t="s">
        <v>164</v>
      </c>
      <c r="H5" s="1188"/>
    </row>
    <row r="6" spans="1:8" x14ac:dyDescent="0.25">
      <c r="A6" s="32">
        <v>1</v>
      </c>
      <c r="B6" s="32">
        <v>2</v>
      </c>
      <c r="C6" s="32">
        <v>3</v>
      </c>
      <c r="D6" s="32">
        <v>4</v>
      </c>
      <c r="E6" s="32">
        <v>5</v>
      </c>
      <c r="F6" s="32">
        <v>6</v>
      </c>
      <c r="G6" s="32">
        <v>7</v>
      </c>
      <c r="H6" s="32">
        <v>8</v>
      </c>
    </row>
    <row r="7" spans="1:8" x14ac:dyDescent="0.25">
      <c r="A7" s="32" t="s">
        <v>165</v>
      </c>
      <c r="B7" s="1190" t="s">
        <v>166</v>
      </c>
      <c r="C7" s="1190"/>
      <c r="D7" s="1190"/>
      <c r="E7" s="1190"/>
      <c r="F7" s="1190"/>
      <c r="G7" s="1190"/>
      <c r="H7" s="1190"/>
    </row>
    <row r="8" spans="1:8" x14ac:dyDescent="0.25">
      <c r="A8" s="32" t="s">
        <v>165</v>
      </c>
      <c r="B8" s="1190" t="s">
        <v>167</v>
      </c>
      <c r="C8" s="1190"/>
      <c r="D8" s="32"/>
      <c r="E8" s="32"/>
      <c r="F8" s="32"/>
      <c r="G8" s="32"/>
      <c r="H8" s="32"/>
    </row>
    <row r="9" spans="1:8" x14ac:dyDescent="0.25">
      <c r="A9" s="32" t="s">
        <v>165</v>
      </c>
      <c r="B9" s="1190" t="s">
        <v>168</v>
      </c>
      <c r="C9" s="1190"/>
      <c r="D9" s="32"/>
      <c r="E9" s="32"/>
      <c r="F9" s="32"/>
      <c r="G9" s="32"/>
      <c r="H9" s="32"/>
    </row>
    <row r="10" spans="1:8" x14ac:dyDescent="0.25">
      <c r="A10" s="32" t="s">
        <v>1</v>
      </c>
      <c r="B10" s="1191" t="s">
        <v>1</v>
      </c>
      <c r="C10" s="1191"/>
      <c r="D10" s="32"/>
      <c r="E10" s="32"/>
      <c r="F10" s="32"/>
      <c r="G10" s="32"/>
      <c r="H10" s="32"/>
    </row>
    <row r="11" spans="1:8" x14ac:dyDescent="0.25">
      <c r="A11" s="32" t="s">
        <v>165</v>
      </c>
      <c r="B11" s="1190" t="s">
        <v>117</v>
      </c>
      <c r="C11" s="1190"/>
      <c r="D11" s="32"/>
      <c r="E11" s="32"/>
      <c r="F11" s="32"/>
      <c r="G11" s="32"/>
      <c r="H11" s="32"/>
    </row>
    <row r="12" spans="1:8" x14ac:dyDescent="0.25">
      <c r="A12" s="32" t="s">
        <v>21</v>
      </c>
      <c r="B12" s="33" t="s">
        <v>118</v>
      </c>
      <c r="C12" s="32"/>
      <c r="D12" s="32"/>
      <c r="E12" s="32"/>
      <c r="F12" s="32"/>
      <c r="G12" s="32"/>
      <c r="H12" s="32"/>
    </row>
    <row r="13" spans="1:8" x14ac:dyDescent="0.25">
      <c r="A13" s="32" t="s">
        <v>21</v>
      </c>
      <c r="B13" s="33" t="s">
        <v>118</v>
      </c>
      <c r="C13" s="32"/>
      <c r="D13" s="32"/>
      <c r="E13" s="32"/>
      <c r="F13" s="32"/>
      <c r="G13" s="32"/>
      <c r="H13" s="32"/>
    </row>
    <row r="14" spans="1:8" x14ac:dyDescent="0.25">
      <c r="A14" s="32" t="s">
        <v>165</v>
      </c>
      <c r="B14" s="1190" t="s">
        <v>166</v>
      </c>
      <c r="C14" s="1190"/>
      <c r="D14" s="1190"/>
      <c r="E14" s="1190"/>
      <c r="F14" s="1190"/>
      <c r="G14" s="1190"/>
      <c r="H14" s="1190"/>
    </row>
    <row r="15" spans="1:8" x14ac:dyDescent="0.25">
      <c r="A15" s="32" t="s">
        <v>165</v>
      </c>
      <c r="B15" s="1190" t="s">
        <v>167</v>
      </c>
      <c r="C15" s="1190"/>
      <c r="D15" s="32"/>
      <c r="E15" s="32"/>
      <c r="F15" s="32"/>
      <c r="G15" s="32"/>
      <c r="H15" s="32"/>
    </row>
    <row r="16" spans="1:8" x14ac:dyDescent="0.25">
      <c r="A16" s="32" t="s">
        <v>165</v>
      </c>
      <c r="B16" s="1190" t="s">
        <v>168</v>
      </c>
      <c r="C16" s="1190"/>
      <c r="D16" s="32"/>
      <c r="E16" s="32"/>
      <c r="F16" s="32"/>
      <c r="G16" s="32"/>
      <c r="H16" s="32"/>
    </row>
    <row r="17" spans="1:8" x14ac:dyDescent="0.25">
      <c r="A17" s="32" t="s">
        <v>21</v>
      </c>
      <c r="B17" s="33" t="s">
        <v>118</v>
      </c>
      <c r="C17" s="32"/>
      <c r="D17" s="32"/>
      <c r="E17" s="32"/>
      <c r="F17" s="32"/>
      <c r="G17" s="32"/>
      <c r="H17" s="32"/>
    </row>
    <row r="18" spans="1:8" x14ac:dyDescent="0.25">
      <c r="A18" s="32" t="s">
        <v>21</v>
      </c>
      <c r="B18" s="33" t="s">
        <v>118</v>
      </c>
      <c r="C18" s="32"/>
      <c r="D18" s="32"/>
      <c r="E18" s="32"/>
      <c r="F18" s="32"/>
      <c r="G18" s="32"/>
      <c r="H18" s="32"/>
    </row>
  </sheetData>
  <mergeCells count="14">
    <mergeCell ref="A4:A5"/>
    <mergeCell ref="B4:B5"/>
    <mergeCell ref="C4:C5"/>
    <mergeCell ref="D4:D5"/>
    <mergeCell ref="E4:E5"/>
    <mergeCell ref="B15:C15"/>
    <mergeCell ref="B16:C16"/>
    <mergeCell ref="H4:H5"/>
    <mergeCell ref="B7:H7"/>
    <mergeCell ref="B8:C8"/>
    <mergeCell ref="B9:C9"/>
    <mergeCell ref="B10:C10"/>
    <mergeCell ref="B11:C11"/>
    <mergeCell ref="B14:H14"/>
  </mergeCells>
  <printOptions horizontalCentered="1"/>
  <pageMargins left="0.78740157480314965" right="0.78740157480314965" top="1.1811023622047245" bottom="0.59055118110236227" header="0.31496062992125984" footer="0.31496062992125984"/>
  <pageSetup paperSize="9" scale="94" fitToHeight="0" orientation="landscape" r:id="rId1"/>
  <headerFooter differentFirst="1">
    <oddHeader>&amp;C&amp;P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9" tint="-0.249977111117893"/>
    <pageSetUpPr fitToPage="1"/>
  </sheetPr>
  <dimension ref="B1:V715"/>
  <sheetViews>
    <sheetView showWhiteSpace="0" zoomScale="75" zoomScaleNormal="75" workbookViewId="0">
      <selection activeCell="R29" sqref="R29"/>
    </sheetView>
  </sheetViews>
  <sheetFormatPr defaultColWidth="8.85546875" defaultRowHeight="15.75" x14ac:dyDescent="0.25"/>
  <cols>
    <col min="1" max="1" width="2.140625" style="37" customWidth="1"/>
    <col min="2" max="2" width="7" style="37" customWidth="1"/>
    <col min="3" max="3" width="9.85546875" style="37" customWidth="1"/>
    <col min="4" max="4" width="10.7109375" style="37" hidden="1" customWidth="1"/>
    <col min="5" max="5" width="13" style="37" customWidth="1"/>
    <col min="6" max="6" width="16.7109375" style="37" customWidth="1"/>
    <col min="7" max="7" width="22" style="37" customWidth="1"/>
    <col min="8" max="8" width="7.42578125" style="37" customWidth="1"/>
    <col min="9" max="9" width="16.85546875" style="37" customWidth="1"/>
    <col min="10" max="10" width="14.85546875" style="37" customWidth="1"/>
    <col min="11" max="11" width="9.5703125" style="37" customWidth="1"/>
    <col min="12" max="12" width="9" style="37" customWidth="1"/>
    <col min="13" max="13" width="8.7109375" style="37" customWidth="1"/>
    <col min="14" max="14" width="14.5703125" style="37" hidden="1" customWidth="1"/>
    <col min="15" max="15" width="12.42578125" style="37" customWidth="1"/>
    <col min="16" max="16" width="10.42578125" style="37" customWidth="1"/>
    <col min="17" max="17" width="11.140625" style="37" customWidth="1"/>
    <col min="18" max="18" width="12.85546875" style="37" customWidth="1"/>
    <col min="19" max="19" width="13.5703125" style="37" customWidth="1"/>
    <col min="20" max="20" width="14.140625" style="37" customWidth="1"/>
    <col min="21" max="21" width="8.85546875" style="37"/>
    <col min="22" max="22" width="8.85546875" style="37" customWidth="1"/>
    <col min="23" max="16384" width="8.85546875" style="37"/>
  </cols>
  <sheetData>
    <row r="1" spans="2:20" ht="16.5" customHeight="1" x14ac:dyDescent="0.25">
      <c r="I1" s="54" t="s">
        <v>497</v>
      </c>
      <c r="N1" s="54"/>
    </row>
    <row r="2" spans="2:20" x14ac:dyDescent="0.25">
      <c r="I2" s="54" t="s">
        <v>498</v>
      </c>
      <c r="N2" s="54"/>
    </row>
    <row r="3" spans="2:20" x14ac:dyDescent="0.25">
      <c r="I3" s="54" t="s">
        <v>499</v>
      </c>
      <c r="N3" s="54"/>
    </row>
    <row r="4" spans="2:20" x14ac:dyDescent="0.25">
      <c r="I4" s="54" t="s">
        <v>500</v>
      </c>
      <c r="N4" s="54"/>
    </row>
    <row r="5" spans="2:20" x14ac:dyDescent="0.25">
      <c r="I5" s="54" t="s">
        <v>858</v>
      </c>
      <c r="N5" s="54"/>
    </row>
    <row r="6" spans="2:20" x14ac:dyDescent="0.25">
      <c r="I6" s="54" t="s">
        <v>502</v>
      </c>
      <c r="N6" s="54"/>
    </row>
    <row r="7" spans="2:20" ht="18.75" customHeight="1" x14ac:dyDescent="0.25">
      <c r="B7" s="651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329"/>
      <c r="P7" s="329"/>
    </row>
    <row r="8" spans="2:20" ht="33.75" customHeight="1" x14ac:dyDescent="0.25">
      <c r="B8" s="1203" t="s">
        <v>863</v>
      </c>
      <c r="C8" s="1203"/>
      <c r="D8" s="1203"/>
      <c r="E8" s="1203"/>
      <c r="F8" s="1203"/>
      <c r="G8" s="1203"/>
      <c r="H8" s="1203"/>
      <c r="I8" s="1203"/>
      <c r="J8" s="1203"/>
      <c r="K8" s="1203"/>
      <c r="L8" s="1203"/>
      <c r="M8" s="1203"/>
      <c r="N8" s="1203"/>
      <c r="O8" s="1203"/>
      <c r="P8" s="1203"/>
      <c r="Q8" s="1203"/>
    </row>
    <row r="9" spans="2:20" ht="16.5" thickBot="1" x14ac:dyDescent="0.3"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</row>
    <row r="10" spans="2:20" ht="35.25" customHeight="1" thickBot="1" x14ac:dyDescent="0.3">
      <c r="B10" s="1275" t="s">
        <v>777</v>
      </c>
      <c r="C10" s="1275" t="s">
        <v>4</v>
      </c>
      <c r="D10" s="633" t="s">
        <v>50</v>
      </c>
      <c r="E10" s="1280" t="s">
        <v>50</v>
      </c>
      <c r="F10" s="1277" t="s">
        <v>149</v>
      </c>
      <c r="G10" s="1285" t="s">
        <v>17</v>
      </c>
      <c r="H10" s="1286"/>
      <c r="I10" s="1286"/>
      <c r="J10" s="1286"/>
      <c r="K10" s="1286"/>
      <c r="L10" s="1287"/>
      <c r="M10" s="1215" t="s">
        <v>776</v>
      </c>
      <c r="N10" s="1229"/>
      <c r="O10" s="1229"/>
      <c r="P10" s="1229"/>
      <c r="Q10" s="1280"/>
    </row>
    <row r="11" spans="2:20" ht="35.25" customHeight="1" thickBot="1" x14ac:dyDescent="0.3">
      <c r="B11" s="1199"/>
      <c r="C11" s="1199"/>
      <c r="D11" s="634"/>
      <c r="E11" s="1281"/>
      <c r="F11" s="1230"/>
      <c r="G11" s="1207" t="s">
        <v>18</v>
      </c>
      <c r="H11" s="1280" t="s">
        <v>148</v>
      </c>
      <c r="I11" s="1283" t="s">
        <v>150</v>
      </c>
      <c r="J11" s="1284"/>
      <c r="K11" s="1207" t="s">
        <v>773</v>
      </c>
      <c r="L11" s="1230" t="s">
        <v>774</v>
      </c>
      <c r="M11" s="1207" t="s">
        <v>775</v>
      </c>
      <c r="N11" s="1280">
        <v>2021</v>
      </c>
      <c r="O11" s="1215">
        <v>2022</v>
      </c>
      <c r="P11" s="1207">
        <v>2023</v>
      </c>
      <c r="Q11" s="1207">
        <v>2024</v>
      </c>
    </row>
    <row r="12" spans="2:20" ht="40.5" customHeight="1" thickBot="1" x14ac:dyDescent="0.3">
      <c r="B12" s="1236"/>
      <c r="C12" s="1276"/>
      <c r="D12" s="542" t="s">
        <v>51</v>
      </c>
      <c r="E12" s="1282"/>
      <c r="F12" s="1278"/>
      <c r="G12" s="1208"/>
      <c r="H12" s="1282"/>
      <c r="I12" s="635" t="s">
        <v>772</v>
      </c>
      <c r="J12" s="636" t="s">
        <v>58</v>
      </c>
      <c r="K12" s="1208"/>
      <c r="L12" s="1231"/>
      <c r="M12" s="1208"/>
      <c r="N12" s="1282"/>
      <c r="O12" s="1216"/>
      <c r="P12" s="1208"/>
      <c r="Q12" s="1208"/>
    </row>
    <row r="13" spans="2:20" ht="16.5" thickBot="1" x14ac:dyDescent="0.3">
      <c r="B13" s="637">
        <v>1</v>
      </c>
      <c r="C13" s="638">
        <v>2</v>
      </c>
      <c r="D13" s="639">
        <v>4</v>
      </c>
      <c r="E13" s="637">
        <v>3</v>
      </c>
      <c r="F13" s="638">
        <v>4</v>
      </c>
      <c r="G13" s="637">
        <v>5</v>
      </c>
      <c r="H13" s="637">
        <v>6</v>
      </c>
      <c r="I13" s="637">
        <v>7</v>
      </c>
      <c r="J13" s="638">
        <v>8</v>
      </c>
      <c r="K13" s="637">
        <v>9</v>
      </c>
      <c r="L13" s="638">
        <v>10</v>
      </c>
      <c r="M13" s="637">
        <v>11</v>
      </c>
      <c r="N13" s="640"/>
      <c r="O13" s="641">
        <v>12</v>
      </c>
      <c r="P13" s="637">
        <v>13</v>
      </c>
      <c r="Q13" s="637">
        <v>14</v>
      </c>
    </row>
    <row r="14" spans="2:20" ht="16.5" thickBot="1" x14ac:dyDescent="0.3">
      <c r="B14" s="1193" t="s">
        <v>864</v>
      </c>
      <c r="C14" s="1194"/>
      <c r="D14" s="1194"/>
      <c r="E14" s="1194"/>
      <c r="F14" s="1194"/>
      <c r="G14" s="1194"/>
      <c r="H14" s="1194"/>
      <c r="I14" s="1194"/>
      <c r="J14" s="1194"/>
      <c r="K14" s="1194"/>
      <c r="L14" s="1195"/>
      <c r="M14" s="542" t="s">
        <v>122</v>
      </c>
      <c r="N14" s="665"/>
      <c r="O14" s="705">
        <f t="shared" ref="O14:Q17" si="0">O19+O132+O348+O533+O659</f>
        <v>641335.31776000001</v>
      </c>
      <c r="P14" s="667">
        <f t="shared" si="0"/>
        <v>479133.39565000008</v>
      </c>
      <c r="Q14" s="668">
        <f t="shared" si="0"/>
        <v>485967.99569999997</v>
      </c>
      <c r="R14" s="631">
        <v>592834</v>
      </c>
      <c r="S14" s="631"/>
      <c r="T14" s="631"/>
    </row>
    <row r="15" spans="2:20" ht="16.5" thickBot="1" x14ac:dyDescent="0.3">
      <c r="B15" s="1196"/>
      <c r="C15" s="1197"/>
      <c r="D15" s="1197"/>
      <c r="E15" s="1197"/>
      <c r="F15" s="1197"/>
      <c r="G15" s="1197"/>
      <c r="H15" s="1197"/>
      <c r="I15" s="1197"/>
      <c r="J15" s="1197"/>
      <c r="K15" s="1197"/>
      <c r="L15" s="1198"/>
      <c r="M15" s="636" t="s">
        <v>123</v>
      </c>
      <c r="N15" s="665"/>
      <c r="O15" s="705">
        <f>O20+O133+O349+O534+O660</f>
        <v>50293</v>
      </c>
      <c r="P15" s="667">
        <f t="shared" si="0"/>
        <v>4560</v>
      </c>
      <c r="Q15" s="668">
        <f t="shared" si="0"/>
        <v>4560</v>
      </c>
    </row>
    <row r="16" spans="2:20" ht="16.5" thickBot="1" x14ac:dyDescent="0.3">
      <c r="B16" s="1196"/>
      <c r="C16" s="1197"/>
      <c r="D16" s="1197"/>
      <c r="E16" s="1197"/>
      <c r="F16" s="1197"/>
      <c r="G16" s="1197"/>
      <c r="H16" s="1197"/>
      <c r="I16" s="1197"/>
      <c r="J16" s="1197"/>
      <c r="K16" s="1197"/>
      <c r="L16" s="1198"/>
      <c r="M16" s="672" t="s">
        <v>124</v>
      </c>
      <c r="N16" s="665"/>
      <c r="O16" s="705">
        <f t="shared" si="0"/>
        <v>591042.31776000001</v>
      </c>
      <c r="P16" s="667">
        <f t="shared" si="0"/>
        <v>474123.39565000008</v>
      </c>
      <c r="Q16" s="668">
        <f t="shared" si="0"/>
        <v>481407.99569999997</v>
      </c>
      <c r="R16" s="37">
        <v>588274</v>
      </c>
    </row>
    <row r="17" spans="2:18" ht="16.5" thickBot="1" x14ac:dyDescent="0.3">
      <c r="B17" s="1196"/>
      <c r="C17" s="1197"/>
      <c r="D17" s="1197"/>
      <c r="E17" s="1197"/>
      <c r="F17" s="1197"/>
      <c r="G17" s="1197"/>
      <c r="H17" s="1197"/>
      <c r="I17" s="1197"/>
      <c r="J17" s="1197"/>
      <c r="K17" s="1197"/>
      <c r="L17" s="1198"/>
      <c r="M17" s="547" t="s">
        <v>745</v>
      </c>
      <c r="N17" s="665"/>
      <c r="O17" s="705">
        <f t="shared" si="0"/>
        <v>161907.91907999999</v>
      </c>
      <c r="P17" s="667">
        <f t="shared" si="0"/>
        <v>0</v>
      </c>
      <c r="Q17" s="668">
        <f t="shared" si="0"/>
        <v>0</v>
      </c>
    </row>
    <row r="18" spans="2:18" ht="16.5" hidden="1" thickBot="1" x14ac:dyDescent="0.3">
      <c r="B18" s="1196"/>
      <c r="C18" s="1197"/>
      <c r="D18" s="1197"/>
      <c r="E18" s="1197"/>
      <c r="F18" s="1197"/>
      <c r="G18" s="1197"/>
      <c r="H18" s="1197"/>
      <c r="I18" s="1197"/>
      <c r="J18" s="1197"/>
      <c r="K18" s="1197"/>
      <c r="L18" s="1198"/>
      <c r="M18" s="664"/>
      <c r="N18" s="665"/>
      <c r="O18" s="665"/>
      <c r="P18" s="666"/>
      <c r="Q18" s="664"/>
    </row>
    <row r="19" spans="2:18" ht="28.5" customHeight="1" thickBot="1" x14ac:dyDescent="0.3">
      <c r="B19" s="1206" t="s">
        <v>63</v>
      </c>
      <c r="C19" s="1207" t="s">
        <v>116</v>
      </c>
      <c r="D19" s="541"/>
      <c r="E19" s="1273" t="s">
        <v>116</v>
      </c>
      <c r="F19" s="1207" t="s">
        <v>583</v>
      </c>
      <c r="G19" s="678" t="s">
        <v>230</v>
      </c>
      <c r="H19" s="683" t="s">
        <v>240</v>
      </c>
      <c r="I19" s="671" t="s">
        <v>778</v>
      </c>
      <c r="J19" s="1206" t="s">
        <v>462</v>
      </c>
      <c r="K19" s="542">
        <v>201</v>
      </c>
      <c r="L19" s="542">
        <v>202</v>
      </c>
      <c r="M19" s="542" t="s">
        <v>122</v>
      </c>
      <c r="N19" s="543"/>
      <c r="O19" s="544">
        <f t="shared" ref="O19:Q22" si="1">O24+O64+O92+O100+O120</f>
        <v>24484.012000000002</v>
      </c>
      <c r="P19" s="544">
        <f t="shared" si="1"/>
        <v>23214.412</v>
      </c>
      <c r="Q19" s="675">
        <f t="shared" si="1"/>
        <v>20933.672000000002</v>
      </c>
    </row>
    <row r="20" spans="2:18" ht="27.75" customHeight="1" thickBot="1" x14ac:dyDescent="0.3">
      <c r="B20" s="1204"/>
      <c r="C20" s="1199"/>
      <c r="D20" s="1272"/>
      <c r="E20" s="1274"/>
      <c r="F20" s="1199"/>
      <c r="G20" s="545" t="s">
        <v>231</v>
      </c>
      <c r="H20" s="546" t="s">
        <v>241</v>
      </c>
      <c r="I20" s="547" t="s">
        <v>779</v>
      </c>
      <c r="J20" s="1204"/>
      <c r="K20" s="547" t="s">
        <v>780</v>
      </c>
      <c r="L20" s="548" t="s">
        <v>781</v>
      </c>
      <c r="M20" s="636" t="s">
        <v>123</v>
      </c>
      <c r="N20" s="549"/>
      <c r="O20" s="544">
        <f t="shared" si="1"/>
        <v>0</v>
      </c>
      <c r="P20" s="544">
        <f t="shared" si="1"/>
        <v>0</v>
      </c>
      <c r="Q20" s="675">
        <f t="shared" si="1"/>
        <v>0</v>
      </c>
    </row>
    <row r="21" spans="2:18" ht="26.25" customHeight="1" thickBot="1" x14ac:dyDescent="0.3">
      <c r="B21" s="1204"/>
      <c r="C21" s="1199"/>
      <c r="D21" s="1272"/>
      <c r="E21" s="1274"/>
      <c r="F21" s="1199"/>
      <c r="G21" s="677" t="s">
        <v>187</v>
      </c>
      <c r="H21" s="684" t="s">
        <v>241</v>
      </c>
      <c r="I21" s="669">
        <v>55</v>
      </c>
      <c r="J21" s="1204"/>
      <c r="K21" s="669">
        <v>55</v>
      </c>
      <c r="L21" s="679">
        <v>55</v>
      </c>
      <c r="M21" s="672" t="s">
        <v>124</v>
      </c>
      <c r="N21" s="550"/>
      <c r="O21" s="544">
        <f t="shared" si="1"/>
        <v>24484.012000000002</v>
      </c>
      <c r="P21" s="544">
        <f t="shared" si="1"/>
        <v>23214.412</v>
      </c>
      <c r="Q21" s="675">
        <f t="shared" si="1"/>
        <v>20933.672000000002</v>
      </c>
      <c r="R21" s="149"/>
    </row>
    <row r="22" spans="2:18" ht="27.75" customHeight="1" thickBot="1" x14ac:dyDescent="0.3">
      <c r="B22" s="1204"/>
      <c r="C22" s="1199"/>
      <c r="D22" s="1272"/>
      <c r="E22" s="1274"/>
      <c r="F22" s="1199"/>
      <c r="G22" s="545" t="s">
        <v>232</v>
      </c>
      <c r="H22" s="546" t="s">
        <v>240</v>
      </c>
      <c r="I22" s="547">
        <v>50</v>
      </c>
      <c r="J22" s="1204"/>
      <c r="K22" s="547">
        <v>50</v>
      </c>
      <c r="L22" s="548">
        <v>50</v>
      </c>
      <c r="M22" s="547" t="s">
        <v>745</v>
      </c>
      <c r="N22" s="549"/>
      <c r="O22" s="551">
        <f t="shared" si="1"/>
        <v>5484.9989999999998</v>
      </c>
      <c r="P22" s="551">
        <f t="shared" si="1"/>
        <v>0</v>
      </c>
      <c r="Q22" s="552">
        <f t="shared" si="1"/>
        <v>0</v>
      </c>
    </row>
    <row r="23" spans="2:18" ht="44.25" customHeight="1" thickBot="1" x14ac:dyDescent="0.3">
      <c r="B23" s="1204"/>
      <c r="C23" s="1199"/>
      <c r="D23" s="1272"/>
      <c r="E23" s="1274"/>
      <c r="F23" s="1199"/>
      <c r="G23" s="677" t="s">
        <v>254</v>
      </c>
      <c r="H23" s="684" t="s">
        <v>240</v>
      </c>
      <c r="I23" s="669">
        <v>1</v>
      </c>
      <c r="J23" s="1204"/>
      <c r="K23" s="669">
        <v>1</v>
      </c>
      <c r="L23" s="679">
        <v>1</v>
      </c>
      <c r="M23" s="642"/>
      <c r="N23" s="553"/>
      <c r="O23" s="554"/>
      <c r="P23" s="554"/>
      <c r="Q23" s="554"/>
    </row>
    <row r="24" spans="2:18" ht="72" customHeight="1" thickBot="1" x14ac:dyDescent="0.3">
      <c r="B24" s="1206" t="s">
        <v>63</v>
      </c>
      <c r="C24" s="1215">
        <v>40404</v>
      </c>
      <c r="D24" s="654" t="s">
        <v>116</v>
      </c>
      <c r="E24" s="1232" t="s">
        <v>116</v>
      </c>
      <c r="F24" s="1305" t="s">
        <v>585</v>
      </c>
      <c r="G24" s="1200" t="s">
        <v>230</v>
      </c>
      <c r="H24" s="1232" t="s">
        <v>240</v>
      </c>
      <c r="I24" s="1206" t="s">
        <v>778</v>
      </c>
      <c r="J24" s="1206" t="s">
        <v>462</v>
      </c>
      <c r="K24" s="1269" t="s">
        <v>782</v>
      </c>
      <c r="L24" s="1206" t="s">
        <v>783</v>
      </c>
      <c r="M24" s="636" t="s">
        <v>122</v>
      </c>
      <c r="N24" s="549">
        <f>N28+N32+N36+N40+N44+N48+N52+N56+N60</f>
        <v>2908.8589999999999</v>
      </c>
      <c r="O24" s="551">
        <f>O28+O32+O36+O40+O44+O48+O52+O56+O60</f>
        <v>3909.7400000000002</v>
      </c>
      <c r="P24" s="552">
        <f>P28+P32+P36+P40+P44+P48+P52+P56+P60</f>
        <v>3909.7400000000002</v>
      </c>
      <c r="Q24" s="552">
        <f>Q28+Q32+Q36+Q40+Q44+Q48+Q52+Q56+Q60</f>
        <v>3909.7400000000002</v>
      </c>
    </row>
    <row r="25" spans="2:18" ht="21" customHeight="1" thickBot="1" x14ac:dyDescent="0.3">
      <c r="B25" s="1204"/>
      <c r="C25" s="1192"/>
      <c r="D25" s="555"/>
      <c r="E25" s="1209"/>
      <c r="F25" s="1233"/>
      <c r="G25" s="1201"/>
      <c r="H25" s="1209"/>
      <c r="I25" s="1204"/>
      <c r="J25" s="1204"/>
      <c r="K25" s="1270"/>
      <c r="L25" s="1204"/>
      <c r="M25" s="636" t="s">
        <v>123</v>
      </c>
      <c r="N25" s="549"/>
      <c r="O25" s="551">
        <v>0</v>
      </c>
      <c r="P25" s="552">
        <v>0</v>
      </c>
      <c r="Q25" s="552">
        <v>0</v>
      </c>
    </row>
    <row r="26" spans="2:18" ht="21" customHeight="1" thickBot="1" x14ac:dyDescent="0.3">
      <c r="B26" s="1204"/>
      <c r="C26" s="1192"/>
      <c r="D26" s="555"/>
      <c r="E26" s="1209"/>
      <c r="F26" s="1233"/>
      <c r="G26" s="1201"/>
      <c r="H26" s="1209"/>
      <c r="I26" s="1204"/>
      <c r="J26" s="1204"/>
      <c r="K26" s="1270"/>
      <c r="L26" s="1204"/>
      <c r="M26" s="672" t="s">
        <v>124</v>
      </c>
      <c r="N26" s="556"/>
      <c r="O26" s="557">
        <f>O30+O34+O38+O42+O46+O50+O54+O58+O62</f>
        <v>3909.7400000000002</v>
      </c>
      <c r="P26" s="557">
        <f>P30+P34+P38+P42+P46+P50+P54+P58+P62</f>
        <v>3909.7400000000002</v>
      </c>
      <c r="Q26" s="676">
        <f>Q30+Q34+Q38+Q42+Q46+Q50+Q54+Q58+Q62</f>
        <v>3909.7400000000002</v>
      </c>
    </row>
    <row r="27" spans="2:18" ht="21.75" customHeight="1" thickBot="1" x14ac:dyDescent="0.3">
      <c r="B27" s="1205"/>
      <c r="C27" s="1216"/>
      <c r="D27" s="558"/>
      <c r="E27" s="1210"/>
      <c r="F27" s="1306"/>
      <c r="G27" s="1202"/>
      <c r="H27" s="1210"/>
      <c r="I27" s="1205"/>
      <c r="J27" s="1205"/>
      <c r="K27" s="1271"/>
      <c r="L27" s="1205"/>
      <c r="M27" s="547" t="s">
        <v>745</v>
      </c>
      <c r="N27" s="559"/>
      <c r="O27" s="557">
        <v>0</v>
      </c>
      <c r="P27" s="676">
        <v>0</v>
      </c>
      <c r="Q27" s="676">
        <v>0</v>
      </c>
    </row>
    <row r="28" spans="2:18" ht="29.25" customHeight="1" thickBot="1" x14ac:dyDescent="0.3">
      <c r="B28" s="1206" t="s">
        <v>63</v>
      </c>
      <c r="C28" s="1215">
        <v>40404</v>
      </c>
      <c r="D28" s="682">
        <v>27300364</v>
      </c>
      <c r="E28" s="1207" t="s">
        <v>614</v>
      </c>
      <c r="F28" s="1200" t="s">
        <v>389</v>
      </c>
      <c r="G28" s="1200" t="s">
        <v>391</v>
      </c>
      <c r="H28" s="1232" t="s">
        <v>393</v>
      </c>
      <c r="I28" s="1206" t="s">
        <v>394</v>
      </c>
      <c r="J28" s="1206" t="s">
        <v>462</v>
      </c>
      <c r="K28" s="1269" t="s">
        <v>394</v>
      </c>
      <c r="L28" s="1206" t="s">
        <v>394</v>
      </c>
      <c r="M28" s="542" t="s">
        <v>122</v>
      </c>
      <c r="N28" s="543" t="s">
        <v>631</v>
      </c>
      <c r="O28" s="544">
        <v>410.4</v>
      </c>
      <c r="P28" s="675" t="s">
        <v>720</v>
      </c>
      <c r="Q28" s="675" t="s">
        <v>720</v>
      </c>
    </row>
    <row r="29" spans="2:18" ht="23.25" customHeight="1" thickBot="1" x14ac:dyDescent="0.3">
      <c r="B29" s="1204"/>
      <c r="C29" s="1192"/>
      <c r="D29" s="682"/>
      <c r="E29" s="1199"/>
      <c r="F29" s="1201"/>
      <c r="G29" s="1201"/>
      <c r="H29" s="1209"/>
      <c r="I29" s="1204"/>
      <c r="J29" s="1204"/>
      <c r="K29" s="1270"/>
      <c r="L29" s="1204"/>
      <c r="M29" s="636" t="s">
        <v>123</v>
      </c>
      <c r="N29" s="549"/>
      <c r="O29" s="551">
        <v>0</v>
      </c>
      <c r="P29" s="552">
        <v>0</v>
      </c>
      <c r="Q29" s="552">
        <v>0</v>
      </c>
    </row>
    <row r="30" spans="2:18" ht="23.25" customHeight="1" thickBot="1" x14ac:dyDescent="0.3">
      <c r="B30" s="1204"/>
      <c r="C30" s="1192"/>
      <c r="D30" s="682"/>
      <c r="E30" s="1199"/>
      <c r="F30" s="1201"/>
      <c r="G30" s="1201"/>
      <c r="H30" s="1209"/>
      <c r="I30" s="1204"/>
      <c r="J30" s="1204"/>
      <c r="K30" s="1270"/>
      <c r="L30" s="1204"/>
      <c r="M30" s="672" t="s">
        <v>124</v>
      </c>
      <c r="N30" s="556"/>
      <c r="O30" s="557">
        <v>410.4</v>
      </c>
      <c r="P30" s="676" t="s">
        <v>720</v>
      </c>
      <c r="Q30" s="676" t="s">
        <v>720</v>
      </c>
    </row>
    <row r="31" spans="2:18" ht="27" customHeight="1" thickBot="1" x14ac:dyDescent="0.3">
      <c r="B31" s="1204"/>
      <c r="C31" s="1192"/>
      <c r="D31" s="673"/>
      <c r="E31" s="1199"/>
      <c r="F31" s="1201"/>
      <c r="G31" s="1201"/>
      <c r="H31" s="1209"/>
      <c r="I31" s="1204"/>
      <c r="J31" s="1204"/>
      <c r="K31" s="1270"/>
      <c r="L31" s="1204"/>
      <c r="M31" s="671" t="s">
        <v>745</v>
      </c>
      <c r="N31" s="560"/>
      <c r="O31" s="561">
        <v>0</v>
      </c>
      <c r="P31" s="562">
        <v>0</v>
      </c>
      <c r="Q31" s="562">
        <v>0</v>
      </c>
    </row>
    <row r="32" spans="2:18" ht="21.75" customHeight="1" thickBot="1" x14ac:dyDescent="0.3">
      <c r="B32" s="1206" t="s">
        <v>63</v>
      </c>
      <c r="C32" s="1215">
        <v>40404</v>
      </c>
      <c r="D32" s="654">
        <v>27300364</v>
      </c>
      <c r="E32" s="1207" t="s">
        <v>192</v>
      </c>
      <c r="F32" s="1200" t="s">
        <v>390</v>
      </c>
      <c r="G32" s="1200" t="s">
        <v>392</v>
      </c>
      <c r="H32" s="1232" t="s">
        <v>393</v>
      </c>
      <c r="I32" s="1206" t="s">
        <v>723</v>
      </c>
      <c r="J32" s="1206" t="s">
        <v>462</v>
      </c>
      <c r="K32" s="1269" t="s">
        <v>723</v>
      </c>
      <c r="L32" s="1206" t="s">
        <v>723</v>
      </c>
      <c r="M32" s="542" t="s">
        <v>122</v>
      </c>
      <c r="N32" s="543" t="s">
        <v>630</v>
      </c>
      <c r="O32" s="544">
        <v>818</v>
      </c>
      <c r="P32" s="675" t="s">
        <v>722</v>
      </c>
      <c r="Q32" s="675" t="s">
        <v>722</v>
      </c>
    </row>
    <row r="33" spans="2:17" ht="21.75" customHeight="1" thickBot="1" x14ac:dyDescent="0.3">
      <c r="B33" s="1204"/>
      <c r="C33" s="1192"/>
      <c r="D33" s="555"/>
      <c r="E33" s="1199"/>
      <c r="F33" s="1201"/>
      <c r="G33" s="1201"/>
      <c r="H33" s="1209"/>
      <c r="I33" s="1204"/>
      <c r="J33" s="1204"/>
      <c r="K33" s="1270"/>
      <c r="L33" s="1204"/>
      <c r="M33" s="636" t="s">
        <v>123</v>
      </c>
      <c r="N33" s="549"/>
      <c r="O33" s="551">
        <v>0</v>
      </c>
      <c r="P33" s="552">
        <v>0</v>
      </c>
      <c r="Q33" s="552">
        <v>0</v>
      </c>
    </row>
    <row r="34" spans="2:17" ht="21.75" customHeight="1" thickBot="1" x14ac:dyDescent="0.3">
      <c r="B34" s="1204"/>
      <c r="C34" s="1192"/>
      <c r="D34" s="555"/>
      <c r="E34" s="1199"/>
      <c r="F34" s="1201"/>
      <c r="G34" s="1201"/>
      <c r="H34" s="1209"/>
      <c r="I34" s="1204"/>
      <c r="J34" s="1204"/>
      <c r="K34" s="1270"/>
      <c r="L34" s="1204"/>
      <c r="M34" s="672" t="s">
        <v>124</v>
      </c>
      <c r="N34" s="556"/>
      <c r="O34" s="557">
        <v>818</v>
      </c>
      <c r="P34" s="676" t="s">
        <v>722</v>
      </c>
      <c r="Q34" s="676" t="s">
        <v>722</v>
      </c>
    </row>
    <row r="35" spans="2:17" ht="21.75" customHeight="1" thickBot="1" x14ac:dyDescent="0.3">
      <c r="B35" s="1205"/>
      <c r="C35" s="1216"/>
      <c r="D35" s="558"/>
      <c r="E35" s="1208"/>
      <c r="F35" s="1202"/>
      <c r="G35" s="1202"/>
      <c r="H35" s="1210"/>
      <c r="I35" s="1205"/>
      <c r="J35" s="1205"/>
      <c r="K35" s="1271"/>
      <c r="L35" s="1205"/>
      <c r="M35" s="547" t="s">
        <v>745</v>
      </c>
      <c r="N35" s="559"/>
      <c r="O35" s="557">
        <v>0</v>
      </c>
      <c r="P35" s="676">
        <v>0</v>
      </c>
      <c r="Q35" s="676">
        <v>0</v>
      </c>
    </row>
    <row r="36" spans="2:17" ht="24" customHeight="1" thickBot="1" x14ac:dyDescent="0.3">
      <c r="B36" s="1206" t="s">
        <v>63</v>
      </c>
      <c r="C36" s="1215">
        <v>40404</v>
      </c>
      <c r="D36" s="654">
        <v>27300364</v>
      </c>
      <c r="E36" s="1207" t="s">
        <v>192</v>
      </c>
      <c r="F36" s="1200" t="s">
        <v>402</v>
      </c>
      <c r="G36" s="1200" t="s">
        <v>615</v>
      </c>
      <c r="H36" s="1232" t="s">
        <v>403</v>
      </c>
      <c r="I36" s="1206" t="s">
        <v>725</v>
      </c>
      <c r="J36" s="1206" t="s">
        <v>462</v>
      </c>
      <c r="K36" s="1206" t="s">
        <v>725</v>
      </c>
      <c r="L36" s="1206" t="s">
        <v>725</v>
      </c>
      <c r="M36" s="542" t="s">
        <v>122</v>
      </c>
      <c r="N36" s="543">
        <f>1051.85+71.964+0.04</f>
        <v>1123.8539999999998</v>
      </c>
      <c r="O36" s="544">
        <v>1408</v>
      </c>
      <c r="P36" s="675" t="s">
        <v>724</v>
      </c>
      <c r="Q36" s="675" t="s">
        <v>724</v>
      </c>
    </row>
    <row r="37" spans="2:17" ht="21.75" customHeight="1" thickBot="1" x14ac:dyDescent="0.3">
      <c r="B37" s="1204"/>
      <c r="C37" s="1192"/>
      <c r="D37" s="555"/>
      <c r="E37" s="1199"/>
      <c r="F37" s="1201"/>
      <c r="G37" s="1201"/>
      <c r="H37" s="1209"/>
      <c r="I37" s="1204"/>
      <c r="J37" s="1204"/>
      <c r="K37" s="1204"/>
      <c r="L37" s="1204"/>
      <c r="M37" s="636" t="s">
        <v>123</v>
      </c>
      <c r="N37" s="549"/>
      <c r="O37" s="551">
        <v>0</v>
      </c>
      <c r="P37" s="552">
        <v>0</v>
      </c>
      <c r="Q37" s="552">
        <v>0</v>
      </c>
    </row>
    <row r="38" spans="2:17" ht="20.25" customHeight="1" thickBot="1" x14ac:dyDescent="0.3">
      <c r="B38" s="1204"/>
      <c r="C38" s="1192"/>
      <c r="D38" s="555"/>
      <c r="E38" s="1199"/>
      <c r="F38" s="1201"/>
      <c r="G38" s="1201"/>
      <c r="H38" s="1209"/>
      <c r="I38" s="1204"/>
      <c r="J38" s="1204"/>
      <c r="K38" s="1204"/>
      <c r="L38" s="1204"/>
      <c r="M38" s="672" t="s">
        <v>124</v>
      </c>
      <c r="N38" s="556"/>
      <c r="O38" s="557">
        <v>1408</v>
      </c>
      <c r="P38" s="676" t="s">
        <v>724</v>
      </c>
      <c r="Q38" s="676" t="s">
        <v>724</v>
      </c>
    </row>
    <row r="39" spans="2:17" ht="21.75" customHeight="1" thickBot="1" x14ac:dyDescent="0.3">
      <c r="B39" s="1205"/>
      <c r="C39" s="1216"/>
      <c r="D39" s="558"/>
      <c r="E39" s="1208"/>
      <c r="F39" s="1202"/>
      <c r="G39" s="1202"/>
      <c r="H39" s="1210"/>
      <c r="I39" s="1205"/>
      <c r="J39" s="1205"/>
      <c r="K39" s="1205"/>
      <c r="L39" s="1205"/>
      <c r="M39" s="671" t="s">
        <v>745</v>
      </c>
      <c r="N39" s="560"/>
      <c r="O39" s="561">
        <v>0</v>
      </c>
      <c r="P39" s="562">
        <v>0</v>
      </c>
      <c r="Q39" s="562">
        <v>0</v>
      </c>
    </row>
    <row r="40" spans="2:17" ht="25.5" customHeight="1" thickBot="1" x14ac:dyDescent="0.3">
      <c r="B40" s="1206" t="s">
        <v>63</v>
      </c>
      <c r="C40" s="1215">
        <v>40404</v>
      </c>
      <c r="D40" s="654">
        <v>27300364</v>
      </c>
      <c r="E40" s="1207" t="s">
        <v>192</v>
      </c>
      <c r="F40" s="1200" t="s">
        <v>399</v>
      </c>
      <c r="G40" s="1200" t="s">
        <v>617</v>
      </c>
      <c r="H40" s="1232" t="s">
        <v>400</v>
      </c>
      <c r="I40" s="1206" t="s">
        <v>727</v>
      </c>
      <c r="J40" s="1206" t="s">
        <v>462</v>
      </c>
      <c r="K40" s="1206" t="s">
        <v>727</v>
      </c>
      <c r="L40" s="1206" t="s">
        <v>727</v>
      </c>
      <c r="M40" s="542" t="s">
        <v>122</v>
      </c>
      <c r="N40" s="543">
        <f>314.1+14.4</f>
        <v>328.5</v>
      </c>
      <c r="O40" s="544">
        <v>517.20000000000005</v>
      </c>
      <c r="P40" s="675" t="s">
        <v>726</v>
      </c>
      <c r="Q40" s="675" t="s">
        <v>726</v>
      </c>
    </row>
    <row r="41" spans="2:17" ht="23.25" customHeight="1" thickBot="1" x14ac:dyDescent="0.3">
      <c r="B41" s="1204"/>
      <c r="C41" s="1192"/>
      <c r="D41" s="682"/>
      <c r="E41" s="1199"/>
      <c r="F41" s="1201"/>
      <c r="G41" s="1201"/>
      <c r="H41" s="1209"/>
      <c r="I41" s="1204"/>
      <c r="J41" s="1204"/>
      <c r="K41" s="1204"/>
      <c r="L41" s="1204"/>
      <c r="M41" s="636" t="s">
        <v>123</v>
      </c>
      <c r="N41" s="549"/>
      <c r="O41" s="551">
        <v>0</v>
      </c>
      <c r="P41" s="552">
        <v>0</v>
      </c>
      <c r="Q41" s="552">
        <v>0</v>
      </c>
    </row>
    <row r="42" spans="2:17" ht="22.5" customHeight="1" thickBot="1" x14ac:dyDescent="0.3">
      <c r="B42" s="1204"/>
      <c r="C42" s="1192"/>
      <c r="D42" s="682"/>
      <c r="E42" s="1199"/>
      <c r="F42" s="1201"/>
      <c r="G42" s="1201"/>
      <c r="H42" s="1209"/>
      <c r="I42" s="1204"/>
      <c r="J42" s="1204"/>
      <c r="K42" s="1204"/>
      <c r="L42" s="1204"/>
      <c r="M42" s="672" t="s">
        <v>124</v>
      </c>
      <c r="N42" s="556"/>
      <c r="O42" s="557">
        <v>517.20000000000005</v>
      </c>
      <c r="P42" s="676" t="s">
        <v>726</v>
      </c>
      <c r="Q42" s="676" t="s">
        <v>726</v>
      </c>
    </row>
    <row r="43" spans="2:17" ht="25.5" customHeight="1" thickBot="1" x14ac:dyDescent="0.3">
      <c r="B43" s="1205"/>
      <c r="C43" s="1216"/>
      <c r="D43" s="674"/>
      <c r="E43" s="1208"/>
      <c r="F43" s="1202"/>
      <c r="G43" s="1202"/>
      <c r="H43" s="1210"/>
      <c r="I43" s="1205"/>
      <c r="J43" s="1205"/>
      <c r="K43" s="1205"/>
      <c r="L43" s="1205"/>
      <c r="M43" s="547" t="s">
        <v>745</v>
      </c>
      <c r="N43" s="559"/>
      <c r="O43" s="557">
        <v>0</v>
      </c>
      <c r="P43" s="676">
        <v>0</v>
      </c>
      <c r="Q43" s="676">
        <v>0</v>
      </c>
    </row>
    <row r="44" spans="2:17" ht="19.5" customHeight="1" thickBot="1" x14ac:dyDescent="0.3">
      <c r="B44" s="1206" t="s">
        <v>63</v>
      </c>
      <c r="C44" s="1215">
        <v>40404</v>
      </c>
      <c r="D44" s="654">
        <v>27300364</v>
      </c>
      <c r="E44" s="1207" t="s">
        <v>192</v>
      </c>
      <c r="F44" s="1200" t="s">
        <v>396</v>
      </c>
      <c r="G44" s="1200" t="s">
        <v>397</v>
      </c>
      <c r="H44" s="1232" t="s">
        <v>393</v>
      </c>
      <c r="I44" s="1206" t="s">
        <v>398</v>
      </c>
      <c r="J44" s="1206" t="s">
        <v>462</v>
      </c>
      <c r="K44" s="1206" t="s">
        <v>398</v>
      </c>
      <c r="L44" s="1206" t="s">
        <v>398</v>
      </c>
      <c r="M44" s="542" t="s">
        <v>122</v>
      </c>
      <c r="N44" s="543" t="s">
        <v>268</v>
      </c>
      <c r="O44" s="544" t="s">
        <v>268</v>
      </c>
      <c r="P44" s="675" t="s">
        <v>268</v>
      </c>
      <c r="Q44" s="675" t="s">
        <v>268</v>
      </c>
    </row>
    <row r="45" spans="2:17" ht="19.5" customHeight="1" thickBot="1" x14ac:dyDescent="0.3">
      <c r="B45" s="1204"/>
      <c r="C45" s="1192"/>
      <c r="D45" s="555"/>
      <c r="E45" s="1199"/>
      <c r="F45" s="1201"/>
      <c r="G45" s="1201"/>
      <c r="H45" s="1209"/>
      <c r="I45" s="1204"/>
      <c r="J45" s="1204"/>
      <c r="K45" s="1204"/>
      <c r="L45" s="1204"/>
      <c r="M45" s="636" t="s">
        <v>123</v>
      </c>
      <c r="N45" s="549"/>
      <c r="O45" s="551">
        <v>0</v>
      </c>
      <c r="P45" s="552">
        <v>0</v>
      </c>
      <c r="Q45" s="552">
        <v>0</v>
      </c>
    </row>
    <row r="46" spans="2:17" ht="20.25" customHeight="1" thickBot="1" x14ac:dyDescent="0.3">
      <c r="B46" s="1204"/>
      <c r="C46" s="1192"/>
      <c r="D46" s="555"/>
      <c r="E46" s="1199"/>
      <c r="F46" s="1201"/>
      <c r="G46" s="1201"/>
      <c r="H46" s="1209"/>
      <c r="I46" s="1204"/>
      <c r="J46" s="1204"/>
      <c r="K46" s="1204"/>
      <c r="L46" s="1204"/>
      <c r="M46" s="672" t="s">
        <v>124</v>
      </c>
      <c r="N46" s="556"/>
      <c r="O46" s="557" t="s">
        <v>268</v>
      </c>
      <c r="P46" s="676" t="s">
        <v>268</v>
      </c>
      <c r="Q46" s="676" t="s">
        <v>268</v>
      </c>
    </row>
    <row r="47" spans="2:17" ht="19.5" customHeight="1" thickBot="1" x14ac:dyDescent="0.3">
      <c r="B47" s="1205"/>
      <c r="C47" s="1216"/>
      <c r="D47" s="558"/>
      <c r="E47" s="1208"/>
      <c r="F47" s="1202"/>
      <c r="G47" s="1202"/>
      <c r="H47" s="1210"/>
      <c r="I47" s="1205"/>
      <c r="J47" s="1205"/>
      <c r="K47" s="1205"/>
      <c r="L47" s="1205"/>
      <c r="M47" s="547" t="s">
        <v>745</v>
      </c>
      <c r="N47" s="559"/>
      <c r="O47" s="557">
        <v>0</v>
      </c>
      <c r="P47" s="676">
        <v>0</v>
      </c>
      <c r="Q47" s="676">
        <v>0</v>
      </c>
    </row>
    <row r="48" spans="2:17" ht="22.5" customHeight="1" thickBot="1" x14ac:dyDescent="0.3">
      <c r="B48" s="1206" t="s">
        <v>63</v>
      </c>
      <c r="C48" s="1215">
        <v>40404</v>
      </c>
      <c r="D48" s="654">
        <v>27300364</v>
      </c>
      <c r="E48" s="1207" t="s">
        <v>192</v>
      </c>
      <c r="F48" s="1200" t="s">
        <v>260</v>
      </c>
      <c r="G48" s="1200" t="s">
        <v>230</v>
      </c>
      <c r="H48" s="1232" t="s">
        <v>240</v>
      </c>
      <c r="I48" s="1206" t="s">
        <v>263</v>
      </c>
      <c r="J48" s="1206" t="s">
        <v>784</v>
      </c>
      <c r="K48" s="1206" t="s">
        <v>263</v>
      </c>
      <c r="L48" s="1206" t="s">
        <v>263</v>
      </c>
      <c r="M48" s="542" t="s">
        <v>122</v>
      </c>
      <c r="N48" s="543" t="s">
        <v>269</v>
      </c>
      <c r="O48" s="544" t="s">
        <v>269</v>
      </c>
      <c r="P48" s="675" t="s">
        <v>269</v>
      </c>
      <c r="Q48" s="675" t="s">
        <v>269</v>
      </c>
    </row>
    <row r="49" spans="2:17" ht="21" customHeight="1" thickBot="1" x14ac:dyDescent="0.3">
      <c r="B49" s="1204"/>
      <c r="C49" s="1192"/>
      <c r="D49" s="555"/>
      <c r="E49" s="1199"/>
      <c r="F49" s="1201"/>
      <c r="G49" s="1201"/>
      <c r="H49" s="1209"/>
      <c r="I49" s="1204"/>
      <c r="J49" s="1204"/>
      <c r="K49" s="1204"/>
      <c r="L49" s="1204"/>
      <c r="M49" s="636" t="s">
        <v>123</v>
      </c>
      <c r="N49" s="549"/>
      <c r="O49" s="551">
        <v>0</v>
      </c>
      <c r="P49" s="552">
        <v>0</v>
      </c>
      <c r="Q49" s="552">
        <v>0</v>
      </c>
    </row>
    <row r="50" spans="2:17" ht="24" customHeight="1" thickBot="1" x14ac:dyDescent="0.3">
      <c r="B50" s="1204"/>
      <c r="C50" s="1192"/>
      <c r="D50" s="555"/>
      <c r="E50" s="1199"/>
      <c r="F50" s="1201"/>
      <c r="G50" s="1201"/>
      <c r="H50" s="1209"/>
      <c r="I50" s="1204"/>
      <c r="J50" s="1204"/>
      <c r="K50" s="1204"/>
      <c r="L50" s="1204"/>
      <c r="M50" s="672" t="s">
        <v>124</v>
      </c>
      <c r="N50" s="556"/>
      <c r="O50" s="557" t="s">
        <v>269</v>
      </c>
      <c r="P50" s="676" t="s">
        <v>269</v>
      </c>
      <c r="Q50" s="676" t="s">
        <v>269</v>
      </c>
    </row>
    <row r="51" spans="2:17" ht="25.5" customHeight="1" thickBot="1" x14ac:dyDescent="0.3">
      <c r="B51" s="1205"/>
      <c r="C51" s="1216"/>
      <c r="D51" s="558"/>
      <c r="E51" s="1208"/>
      <c r="F51" s="1202"/>
      <c r="G51" s="1202"/>
      <c r="H51" s="1210"/>
      <c r="I51" s="1205"/>
      <c r="J51" s="1205"/>
      <c r="K51" s="1205"/>
      <c r="L51" s="1205"/>
      <c r="M51" s="547" t="s">
        <v>745</v>
      </c>
      <c r="N51" s="559"/>
      <c r="O51" s="557">
        <v>0</v>
      </c>
      <c r="P51" s="676">
        <v>0</v>
      </c>
      <c r="Q51" s="676">
        <v>0</v>
      </c>
    </row>
    <row r="52" spans="2:17" ht="41.25" customHeight="1" thickBot="1" x14ac:dyDescent="0.3">
      <c r="B52" s="1204" t="s">
        <v>63</v>
      </c>
      <c r="C52" s="1192">
        <v>40404</v>
      </c>
      <c r="D52" s="682">
        <v>27300364</v>
      </c>
      <c r="E52" s="1199" t="s">
        <v>192</v>
      </c>
      <c r="F52" s="1267" t="s">
        <v>859</v>
      </c>
      <c r="G52" s="1201" t="s">
        <v>230</v>
      </c>
      <c r="H52" s="1209" t="s">
        <v>240</v>
      </c>
      <c r="I52" s="1204" t="s">
        <v>263</v>
      </c>
      <c r="J52" s="1204" t="s">
        <v>784</v>
      </c>
      <c r="K52" s="1204" t="s">
        <v>263</v>
      </c>
      <c r="L52" s="1204" t="s">
        <v>263</v>
      </c>
      <c r="M52" s="672" t="s">
        <v>122</v>
      </c>
      <c r="N52" s="550" t="s">
        <v>270</v>
      </c>
      <c r="O52" s="561" t="s">
        <v>270</v>
      </c>
      <c r="P52" s="562" t="s">
        <v>270</v>
      </c>
      <c r="Q52" s="562" t="s">
        <v>270</v>
      </c>
    </row>
    <row r="53" spans="2:17" ht="23.25" customHeight="1" thickBot="1" x14ac:dyDescent="0.3">
      <c r="B53" s="1204"/>
      <c r="C53" s="1192"/>
      <c r="D53" s="555"/>
      <c r="E53" s="1199"/>
      <c r="F53" s="1267"/>
      <c r="G53" s="1201"/>
      <c r="H53" s="1209"/>
      <c r="I53" s="1204"/>
      <c r="J53" s="1204"/>
      <c r="K53" s="1204"/>
      <c r="L53" s="1204"/>
      <c r="M53" s="636" t="s">
        <v>123</v>
      </c>
      <c r="N53" s="549"/>
      <c r="O53" s="551">
        <v>0</v>
      </c>
      <c r="P53" s="552">
        <v>0</v>
      </c>
      <c r="Q53" s="552">
        <v>0</v>
      </c>
    </row>
    <row r="54" spans="2:17" ht="43.5" customHeight="1" thickBot="1" x14ac:dyDescent="0.3">
      <c r="B54" s="1204"/>
      <c r="C54" s="1192"/>
      <c r="D54" s="555"/>
      <c r="E54" s="1199"/>
      <c r="F54" s="1267"/>
      <c r="G54" s="1201"/>
      <c r="H54" s="1209"/>
      <c r="I54" s="1204"/>
      <c r="J54" s="1204"/>
      <c r="K54" s="1204"/>
      <c r="L54" s="1204"/>
      <c r="M54" s="672" t="s">
        <v>124</v>
      </c>
      <c r="N54" s="556"/>
      <c r="O54" s="557" t="s">
        <v>270</v>
      </c>
      <c r="P54" s="676" t="s">
        <v>270</v>
      </c>
      <c r="Q54" s="676" t="s">
        <v>270</v>
      </c>
    </row>
    <row r="55" spans="2:17" ht="21" customHeight="1" thickBot="1" x14ac:dyDescent="0.3">
      <c r="B55" s="1204"/>
      <c r="C55" s="1192"/>
      <c r="D55" s="680"/>
      <c r="E55" s="1199"/>
      <c r="F55" s="1267"/>
      <c r="G55" s="1201"/>
      <c r="H55" s="1209"/>
      <c r="I55" s="1204"/>
      <c r="J55" s="1204"/>
      <c r="K55" s="1204"/>
      <c r="L55" s="1204"/>
      <c r="M55" s="671" t="s">
        <v>745</v>
      </c>
      <c r="N55" s="560"/>
      <c r="O55" s="561">
        <v>0</v>
      </c>
      <c r="P55" s="562">
        <v>0</v>
      </c>
      <c r="Q55" s="562">
        <v>0</v>
      </c>
    </row>
    <row r="56" spans="2:17" ht="22.5" customHeight="1" thickBot="1" x14ac:dyDescent="0.3">
      <c r="B56" s="1206" t="s">
        <v>63</v>
      </c>
      <c r="C56" s="1215">
        <v>40404</v>
      </c>
      <c r="D56" s="654">
        <v>27300364</v>
      </c>
      <c r="E56" s="1207" t="s">
        <v>192</v>
      </c>
      <c r="F56" s="1268" t="s">
        <v>261</v>
      </c>
      <c r="G56" s="1200" t="s">
        <v>230</v>
      </c>
      <c r="H56" s="1232" t="s">
        <v>240</v>
      </c>
      <c r="I56" s="1206" t="s">
        <v>263</v>
      </c>
      <c r="J56" s="1206" t="s">
        <v>784</v>
      </c>
      <c r="K56" s="1206" t="s">
        <v>263</v>
      </c>
      <c r="L56" s="1206" t="s">
        <v>263</v>
      </c>
      <c r="M56" s="542" t="s">
        <v>122</v>
      </c>
      <c r="N56" s="543" t="s">
        <v>271</v>
      </c>
      <c r="O56" s="544" t="s">
        <v>271</v>
      </c>
      <c r="P56" s="675" t="s">
        <v>271</v>
      </c>
      <c r="Q56" s="675" t="s">
        <v>271</v>
      </c>
    </row>
    <row r="57" spans="2:17" ht="47.25" customHeight="1" thickBot="1" x14ac:dyDescent="0.3">
      <c r="B57" s="1204"/>
      <c r="C57" s="1192"/>
      <c r="D57" s="555"/>
      <c r="E57" s="1199"/>
      <c r="F57" s="1267"/>
      <c r="G57" s="1201"/>
      <c r="H57" s="1209"/>
      <c r="I57" s="1204"/>
      <c r="J57" s="1204"/>
      <c r="K57" s="1204"/>
      <c r="L57" s="1204"/>
      <c r="M57" s="636" t="s">
        <v>123</v>
      </c>
      <c r="N57" s="549"/>
      <c r="O57" s="551">
        <v>0</v>
      </c>
      <c r="P57" s="552">
        <v>0</v>
      </c>
      <c r="Q57" s="552">
        <v>0</v>
      </c>
    </row>
    <row r="58" spans="2:17" ht="16.5" thickBot="1" x14ac:dyDescent="0.3">
      <c r="B58" s="1204"/>
      <c r="C58" s="1192"/>
      <c r="D58" s="555"/>
      <c r="E58" s="1199"/>
      <c r="F58" s="1267"/>
      <c r="G58" s="1201"/>
      <c r="H58" s="1209"/>
      <c r="I58" s="1204"/>
      <c r="J58" s="1204"/>
      <c r="K58" s="1204"/>
      <c r="L58" s="1204"/>
      <c r="M58" s="672" t="s">
        <v>124</v>
      </c>
      <c r="N58" s="556"/>
      <c r="O58" s="557" t="s">
        <v>271</v>
      </c>
      <c r="P58" s="676" t="s">
        <v>271</v>
      </c>
      <c r="Q58" s="676" t="s">
        <v>271</v>
      </c>
    </row>
    <row r="59" spans="2:17" ht="30" customHeight="1" thickBot="1" x14ac:dyDescent="0.3">
      <c r="B59" s="1205"/>
      <c r="C59" s="1216"/>
      <c r="D59" s="558"/>
      <c r="E59" s="1208"/>
      <c r="F59" s="1256"/>
      <c r="G59" s="1202"/>
      <c r="H59" s="1210"/>
      <c r="I59" s="1205"/>
      <c r="J59" s="1205"/>
      <c r="K59" s="1205"/>
      <c r="L59" s="1205"/>
      <c r="M59" s="547" t="s">
        <v>745</v>
      </c>
      <c r="N59" s="559"/>
      <c r="O59" s="557">
        <v>0</v>
      </c>
      <c r="P59" s="676">
        <v>0</v>
      </c>
      <c r="Q59" s="676">
        <v>0</v>
      </c>
    </row>
    <row r="60" spans="2:17" ht="46.5" customHeight="1" thickBot="1" x14ac:dyDescent="0.3">
      <c r="B60" s="1204" t="s">
        <v>63</v>
      </c>
      <c r="C60" s="1192">
        <v>40404</v>
      </c>
      <c r="D60" s="682">
        <v>27300364</v>
      </c>
      <c r="E60" s="1199" t="s">
        <v>192</v>
      </c>
      <c r="F60" s="1267" t="s">
        <v>686</v>
      </c>
      <c r="G60" s="1201" t="s">
        <v>230</v>
      </c>
      <c r="H60" s="1209" t="s">
        <v>240</v>
      </c>
      <c r="I60" s="1204" t="s">
        <v>263</v>
      </c>
      <c r="J60" s="1204" t="s">
        <v>785</v>
      </c>
      <c r="K60" s="1204" t="s">
        <v>263</v>
      </c>
      <c r="L60" s="1204" t="s">
        <v>263</v>
      </c>
      <c r="M60" s="672" t="s">
        <v>122</v>
      </c>
      <c r="N60" s="550" t="s">
        <v>272</v>
      </c>
      <c r="O60" s="561" t="s">
        <v>272</v>
      </c>
      <c r="P60" s="562" t="s">
        <v>272</v>
      </c>
      <c r="Q60" s="562" t="s">
        <v>272</v>
      </c>
    </row>
    <row r="61" spans="2:17" ht="16.5" thickBot="1" x14ac:dyDescent="0.3">
      <c r="B61" s="1204"/>
      <c r="C61" s="1192"/>
      <c r="D61" s="555"/>
      <c r="E61" s="1199"/>
      <c r="F61" s="1267"/>
      <c r="G61" s="1201"/>
      <c r="H61" s="1209"/>
      <c r="I61" s="1204"/>
      <c r="J61" s="1204"/>
      <c r="K61" s="1204"/>
      <c r="L61" s="1204"/>
      <c r="M61" s="636" t="s">
        <v>123</v>
      </c>
      <c r="N61" s="549"/>
      <c r="O61" s="551">
        <v>0</v>
      </c>
      <c r="P61" s="552">
        <v>0</v>
      </c>
      <c r="Q61" s="552">
        <v>0</v>
      </c>
    </row>
    <row r="62" spans="2:17" ht="16.5" thickBot="1" x14ac:dyDescent="0.3">
      <c r="B62" s="1204"/>
      <c r="C62" s="1192"/>
      <c r="D62" s="555"/>
      <c r="E62" s="1199"/>
      <c r="F62" s="1267"/>
      <c r="G62" s="1201"/>
      <c r="H62" s="1209"/>
      <c r="I62" s="1204"/>
      <c r="J62" s="1204"/>
      <c r="K62" s="1204"/>
      <c r="L62" s="1204"/>
      <c r="M62" s="672" t="s">
        <v>124</v>
      </c>
      <c r="N62" s="556"/>
      <c r="O62" s="557" t="s">
        <v>272</v>
      </c>
      <c r="P62" s="676" t="s">
        <v>272</v>
      </c>
      <c r="Q62" s="676" t="s">
        <v>272</v>
      </c>
    </row>
    <row r="63" spans="2:17" ht="22.5" customHeight="1" thickBot="1" x14ac:dyDescent="0.3">
      <c r="B63" s="1204"/>
      <c r="C63" s="1192"/>
      <c r="D63" s="680"/>
      <c r="E63" s="1199"/>
      <c r="F63" s="1267"/>
      <c r="G63" s="1201"/>
      <c r="H63" s="1209"/>
      <c r="I63" s="1204"/>
      <c r="J63" s="1204"/>
      <c r="K63" s="1204"/>
      <c r="L63" s="1204"/>
      <c r="M63" s="671" t="s">
        <v>745</v>
      </c>
      <c r="N63" s="560"/>
      <c r="O63" s="561">
        <v>0</v>
      </c>
      <c r="P63" s="562">
        <v>0</v>
      </c>
      <c r="Q63" s="562">
        <v>0</v>
      </c>
    </row>
    <row r="64" spans="2:17" ht="48" customHeight="1" thickBot="1" x14ac:dyDescent="0.3">
      <c r="B64" s="1206" t="s">
        <v>63</v>
      </c>
      <c r="C64" s="1215" t="s">
        <v>510</v>
      </c>
      <c r="D64" s="654" t="s">
        <v>116</v>
      </c>
      <c r="E64" s="1207" t="s">
        <v>116</v>
      </c>
      <c r="F64" s="1200" t="s">
        <v>236</v>
      </c>
      <c r="G64" s="1200" t="s">
        <v>230</v>
      </c>
      <c r="H64" s="1232" t="s">
        <v>240</v>
      </c>
      <c r="I64" s="1264">
        <f>I68+I72+I76+I80+I84</f>
        <v>5</v>
      </c>
      <c r="J64" s="1206" t="s">
        <v>462</v>
      </c>
      <c r="K64" s="1206" t="s">
        <v>786</v>
      </c>
      <c r="L64" s="1206" t="s">
        <v>786</v>
      </c>
      <c r="M64" s="542" t="s">
        <v>122</v>
      </c>
      <c r="N64" s="543">
        <f>N68+N72+N76+N80+N84</f>
        <v>1955</v>
      </c>
      <c r="O64" s="544">
        <f>O65+O66</f>
        <v>2018</v>
      </c>
      <c r="P64" s="544">
        <f>P65+P66</f>
        <v>2018</v>
      </c>
      <c r="Q64" s="552">
        <f>Q65+Q66</f>
        <v>2018</v>
      </c>
    </row>
    <row r="65" spans="2:17" ht="33.75" customHeight="1" thickBot="1" x14ac:dyDescent="0.3">
      <c r="B65" s="1204"/>
      <c r="C65" s="1192"/>
      <c r="D65" s="555"/>
      <c r="E65" s="1199"/>
      <c r="F65" s="1201"/>
      <c r="G65" s="1201"/>
      <c r="H65" s="1209"/>
      <c r="I65" s="1265"/>
      <c r="J65" s="1204"/>
      <c r="K65" s="1204"/>
      <c r="L65" s="1204"/>
      <c r="M65" s="636" t="s">
        <v>123</v>
      </c>
      <c r="N65" s="549"/>
      <c r="O65" s="551">
        <v>0</v>
      </c>
      <c r="P65" s="552">
        <v>0</v>
      </c>
      <c r="Q65" s="552">
        <v>0</v>
      </c>
    </row>
    <row r="66" spans="2:17" ht="35.25" customHeight="1" thickBot="1" x14ac:dyDescent="0.3">
      <c r="B66" s="1204"/>
      <c r="C66" s="1192"/>
      <c r="D66" s="555"/>
      <c r="E66" s="1199"/>
      <c r="F66" s="1201"/>
      <c r="G66" s="1201"/>
      <c r="H66" s="1209"/>
      <c r="I66" s="1265"/>
      <c r="J66" s="1204"/>
      <c r="K66" s="1204"/>
      <c r="L66" s="1204"/>
      <c r="M66" s="672" t="s">
        <v>124</v>
      </c>
      <c r="N66" s="556"/>
      <c r="O66" s="557">
        <f>O70+O74+O78+O82+O86+O90</f>
        <v>2018</v>
      </c>
      <c r="P66" s="557">
        <f>P70+P74+P78+P82+P86+P90</f>
        <v>2018</v>
      </c>
      <c r="Q66" s="552">
        <f>Q70+Q74+Q78+Q82+Q86+Q90</f>
        <v>2018</v>
      </c>
    </row>
    <row r="67" spans="2:17" ht="30.75" customHeight="1" thickBot="1" x14ac:dyDescent="0.3">
      <c r="B67" s="1205"/>
      <c r="C67" s="1216"/>
      <c r="D67" s="558"/>
      <c r="E67" s="1208"/>
      <c r="F67" s="1202"/>
      <c r="G67" s="1202"/>
      <c r="H67" s="1210"/>
      <c r="I67" s="1266"/>
      <c r="J67" s="1205"/>
      <c r="K67" s="1205"/>
      <c r="L67" s="1205"/>
      <c r="M67" s="671" t="s">
        <v>745</v>
      </c>
      <c r="N67" s="560"/>
      <c r="O67" s="561">
        <v>0</v>
      </c>
      <c r="P67" s="562">
        <v>0</v>
      </c>
      <c r="Q67" s="562">
        <v>0</v>
      </c>
    </row>
    <row r="68" spans="2:17" ht="21.75" customHeight="1" thickBot="1" x14ac:dyDescent="0.3">
      <c r="B68" s="1206" t="s">
        <v>63</v>
      </c>
      <c r="C68" s="1215" t="s">
        <v>510</v>
      </c>
      <c r="D68" s="682">
        <v>27300364</v>
      </c>
      <c r="E68" s="1207" t="s">
        <v>749</v>
      </c>
      <c r="F68" s="1200" t="s">
        <v>719</v>
      </c>
      <c r="G68" s="1200" t="s">
        <v>230</v>
      </c>
      <c r="H68" s="1232" t="s">
        <v>240</v>
      </c>
      <c r="I68" s="1261" t="s">
        <v>263</v>
      </c>
      <c r="J68" s="1206" t="s">
        <v>462</v>
      </c>
      <c r="K68" s="1206" t="s">
        <v>263</v>
      </c>
      <c r="L68" s="1206" t="s">
        <v>263</v>
      </c>
      <c r="M68" s="542" t="s">
        <v>122</v>
      </c>
      <c r="N68" s="543" t="s">
        <v>275</v>
      </c>
      <c r="O68" s="544" t="s">
        <v>275</v>
      </c>
      <c r="P68" s="675" t="s">
        <v>275</v>
      </c>
      <c r="Q68" s="675" t="s">
        <v>275</v>
      </c>
    </row>
    <row r="69" spans="2:17" ht="21.75" customHeight="1" thickBot="1" x14ac:dyDescent="0.3">
      <c r="B69" s="1204"/>
      <c r="C69" s="1192"/>
      <c r="D69" s="682"/>
      <c r="E69" s="1199"/>
      <c r="F69" s="1201"/>
      <c r="G69" s="1201"/>
      <c r="H69" s="1209"/>
      <c r="I69" s="1262"/>
      <c r="J69" s="1204"/>
      <c r="K69" s="1204"/>
      <c r="L69" s="1204"/>
      <c r="M69" s="636" t="s">
        <v>123</v>
      </c>
      <c r="N69" s="549"/>
      <c r="O69" s="551">
        <v>0</v>
      </c>
      <c r="P69" s="552">
        <v>0</v>
      </c>
      <c r="Q69" s="552">
        <v>0</v>
      </c>
    </row>
    <row r="70" spans="2:17" ht="20.25" customHeight="1" thickBot="1" x14ac:dyDescent="0.3">
      <c r="B70" s="1204"/>
      <c r="C70" s="1192"/>
      <c r="D70" s="682"/>
      <c r="E70" s="1199"/>
      <c r="F70" s="1201"/>
      <c r="G70" s="1201"/>
      <c r="H70" s="1209"/>
      <c r="I70" s="1262"/>
      <c r="J70" s="1204"/>
      <c r="K70" s="1204"/>
      <c r="L70" s="1204"/>
      <c r="M70" s="636" t="s">
        <v>124</v>
      </c>
      <c r="N70" s="549"/>
      <c r="O70" s="551" t="s">
        <v>275</v>
      </c>
      <c r="P70" s="552" t="s">
        <v>275</v>
      </c>
      <c r="Q70" s="552" t="s">
        <v>275</v>
      </c>
    </row>
    <row r="71" spans="2:17" ht="21.75" customHeight="1" thickBot="1" x14ac:dyDescent="0.3">
      <c r="B71" s="1204"/>
      <c r="C71" s="1192"/>
      <c r="D71" s="673"/>
      <c r="E71" s="1199"/>
      <c r="F71" s="1201"/>
      <c r="G71" s="1201"/>
      <c r="H71" s="1209"/>
      <c r="I71" s="1262"/>
      <c r="J71" s="1204"/>
      <c r="K71" s="1204"/>
      <c r="L71" s="1204"/>
      <c r="M71" s="669" t="s">
        <v>745</v>
      </c>
      <c r="N71" s="550"/>
      <c r="O71" s="561">
        <v>0</v>
      </c>
      <c r="P71" s="562">
        <v>0</v>
      </c>
      <c r="Q71" s="562">
        <v>0</v>
      </c>
    </row>
    <row r="72" spans="2:17" ht="25.5" customHeight="1" thickBot="1" x14ac:dyDescent="0.3">
      <c r="B72" s="1206" t="s">
        <v>63</v>
      </c>
      <c r="C72" s="1215" t="s">
        <v>510</v>
      </c>
      <c r="D72" s="654">
        <v>27300364</v>
      </c>
      <c r="E72" s="1207" t="s">
        <v>749</v>
      </c>
      <c r="F72" s="1200" t="s">
        <v>274</v>
      </c>
      <c r="G72" s="1200" t="s">
        <v>230</v>
      </c>
      <c r="H72" s="1232" t="s">
        <v>240</v>
      </c>
      <c r="I72" s="1261" t="s">
        <v>263</v>
      </c>
      <c r="J72" s="1206" t="s">
        <v>462</v>
      </c>
      <c r="K72" s="1206" t="s">
        <v>263</v>
      </c>
      <c r="L72" s="1206" t="s">
        <v>263</v>
      </c>
      <c r="M72" s="542" t="s">
        <v>122</v>
      </c>
      <c r="N72" s="543" t="s">
        <v>276</v>
      </c>
      <c r="O72" s="544" t="s">
        <v>276</v>
      </c>
      <c r="P72" s="675" t="s">
        <v>276</v>
      </c>
      <c r="Q72" s="675" t="s">
        <v>276</v>
      </c>
    </row>
    <row r="73" spans="2:17" ht="43.5" customHeight="1" thickBot="1" x14ac:dyDescent="0.3">
      <c r="B73" s="1204"/>
      <c r="C73" s="1192"/>
      <c r="D73" s="555"/>
      <c r="E73" s="1199"/>
      <c r="F73" s="1201"/>
      <c r="G73" s="1201"/>
      <c r="H73" s="1209"/>
      <c r="I73" s="1262"/>
      <c r="J73" s="1204"/>
      <c r="K73" s="1204"/>
      <c r="L73" s="1204"/>
      <c r="M73" s="636" t="s">
        <v>123</v>
      </c>
      <c r="N73" s="549"/>
      <c r="O73" s="551">
        <v>0</v>
      </c>
      <c r="P73" s="552">
        <v>0</v>
      </c>
      <c r="Q73" s="552">
        <v>0</v>
      </c>
    </row>
    <row r="74" spans="2:17" ht="25.5" customHeight="1" thickBot="1" x14ac:dyDescent="0.3">
      <c r="B74" s="1204"/>
      <c r="C74" s="1192"/>
      <c r="D74" s="555"/>
      <c r="E74" s="1199"/>
      <c r="F74" s="1201"/>
      <c r="G74" s="1201"/>
      <c r="H74" s="1209"/>
      <c r="I74" s="1262"/>
      <c r="J74" s="1204"/>
      <c r="K74" s="1204"/>
      <c r="L74" s="1204"/>
      <c r="M74" s="636" t="s">
        <v>124</v>
      </c>
      <c r="N74" s="549"/>
      <c r="O74" s="551" t="s">
        <v>276</v>
      </c>
      <c r="P74" s="552" t="s">
        <v>276</v>
      </c>
      <c r="Q74" s="552" t="s">
        <v>276</v>
      </c>
    </row>
    <row r="75" spans="2:17" ht="16.5" thickBot="1" x14ac:dyDescent="0.3">
      <c r="B75" s="1205"/>
      <c r="C75" s="1216"/>
      <c r="D75" s="558"/>
      <c r="E75" s="1208"/>
      <c r="F75" s="1202"/>
      <c r="G75" s="1202"/>
      <c r="H75" s="1210"/>
      <c r="I75" s="1263"/>
      <c r="J75" s="1205"/>
      <c r="K75" s="1205"/>
      <c r="L75" s="1205"/>
      <c r="M75" s="670" t="s">
        <v>745</v>
      </c>
      <c r="N75" s="563"/>
      <c r="O75" s="557">
        <v>0</v>
      </c>
      <c r="P75" s="676">
        <v>0</v>
      </c>
      <c r="Q75" s="676">
        <v>0</v>
      </c>
    </row>
    <row r="76" spans="2:17" ht="18" customHeight="1" thickBot="1" x14ac:dyDescent="0.3">
      <c r="B76" s="1204" t="s">
        <v>63</v>
      </c>
      <c r="C76" s="1192" t="s">
        <v>510</v>
      </c>
      <c r="D76" s="682">
        <v>27300364</v>
      </c>
      <c r="E76" s="1199" t="s">
        <v>422</v>
      </c>
      <c r="F76" s="1201" t="s">
        <v>718</v>
      </c>
      <c r="G76" s="1201" t="s">
        <v>230</v>
      </c>
      <c r="H76" s="1209" t="s">
        <v>240</v>
      </c>
      <c r="I76" s="1262" t="s">
        <v>263</v>
      </c>
      <c r="J76" s="1204" t="s">
        <v>462</v>
      </c>
      <c r="K76" s="1204" t="s">
        <v>263</v>
      </c>
      <c r="L76" s="1204" t="s">
        <v>263</v>
      </c>
      <c r="M76" s="672" t="s">
        <v>122</v>
      </c>
      <c r="N76" s="550" t="s">
        <v>619</v>
      </c>
      <c r="O76" s="561" t="s">
        <v>619</v>
      </c>
      <c r="P76" s="562" t="s">
        <v>619</v>
      </c>
      <c r="Q76" s="562" t="s">
        <v>619</v>
      </c>
    </row>
    <row r="77" spans="2:17" ht="43.5" customHeight="1" thickBot="1" x14ac:dyDescent="0.3">
      <c r="B77" s="1204"/>
      <c r="C77" s="1192"/>
      <c r="D77" s="555"/>
      <c r="E77" s="1199"/>
      <c r="F77" s="1201"/>
      <c r="G77" s="1201"/>
      <c r="H77" s="1209"/>
      <c r="I77" s="1262"/>
      <c r="J77" s="1204"/>
      <c r="K77" s="1204"/>
      <c r="L77" s="1204"/>
      <c r="M77" s="636" t="s">
        <v>123</v>
      </c>
      <c r="N77" s="549"/>
      <c r="O77" s="551">
        <v>0</v>
      </c>
      <c r="P77" s="552">
        <v>0</v>
      </c>
      <c r="Q77" s="552">
        <v>0</v>
      </c>
    </row>
    <row r="78" spans="2:17" ht="18" customHeight="1" thickBot="1" x14ac:dyDescent="0.3">
      <c r="B78" s="1204"/>
      <c r="C78" s="1192"/>
      <c r="D78" s="555"/>
      <c r="E78" s="1199"/>
      <c r="F78" s="1201"/>
      <c r="G78" s="1201"/>
      <c r="H78" s="1209"/>
      <c r="I78" s="1262"/>
      <c r="J78" s="1204"/>
      <c r="K78" s="1204"/>
      <c r="L78" s="1204"/>
      <c r="M78" s="672" t="s">
        <v>124</v>
      </c>
      <c r="N78" s="556"/>
      <c r="O78" s="551" t="s">
        <v>619</v>
      </c>
      <c r="P78" s="552" t="s">
        <v>619</v>
      </c>
      <c r="Q78" s="552" t="s">
        <v>619</v>
      </c>
    </row>
    <row r="79" spans="2:17" ht="15.75" customHeight="1" thickBot="1" x14ac:dyDescent="0.3">
      <c r="B79" s="1204"/>
      <c r="C79" s="1192"/>
      <c r="D79" s="680"/>
      <c r="E79" s="1199"/>
      <c r="F79" s="1201"/>
      <c r="G79" s="1201"/>
      <c r="H79" s="1209"/>
      <c r="I79" s="1262"/>
      <c r="J79" s="1204"/>
      <c r="K79" s="1204"/>
      <c r="L79" s="1204"/>
      <c r="M79" s="671" t="s">
        <v>745</v>
      </c>
      <c r="N79" s="560"/>
      <c r="O79" s="561">
        <v>0</v>
      </c>
      <c r="P79" s="562">
        <v>0</v>
      </c>
      <c r="Q79" s="562">
        <v>0</v>
      </c>
    </row>
    <row r="80" spans="2:17" ht="18.75" customHeight="1" thickBot="1" x14ac:dyDescent="0.3">
      <c r="B80" s="1206" t="s">
        <v>63</v>
      </c>
      <c r="C80" s="1215" t="s">
        <v>510</v>
      </c>
      <c r="D80" s="654">
        <v>27300364</v>
      </c>
      <c r="E80" s="1207" t="s">
        <v>426</v>
      </c>
      <c r="F80" s="1200" t="s">
        <v>561</v>
      </c>
      <c r="G80" s="1200" t="s">
        <v>230</v>
      </c>
      <c r="H80" s="1232" t="s">
        <v>240</v>
      </c>
      <c r="I80" s="1261" t="s">
        <v>263</v>
      </c>
      <c r="J80" s="1206" t="s">
        <v>753</v>
      </c>
      <c r="K80" s="1206" t="s">
        <v>263</v>
      </c>
      <c r="L80" s="1206" t="s">
        <v>263</v>
      </c>
      <c r="M80" s="542" t="s">
        <v>122</v>
      </c>
      <c r="N80" s="543" t="s">
        <v>618</v>
      </c>
      <c r="O80" s="544" t="s">
        <v>618</v>
      </c>
      <c r="P80" s="675" t="s">
        <v>618</v>
      </c>
      <c r="Q80" s="675" t="s">
        <v>618</v>
      </c>
    </row>
    <row r="81" spans="2:18" ht="18.75" customHeight="1" thickBot="1" x14ac:dyDescent="0.3">
      <c r="B81" s="1204"/>
      <c r="C81" s="1192"/>
      <c r="D81" s="555"/>
      <c r="E81" s="1199"/>
      <c r="F81" s="1201"/>
      <c r="G81" s="1201"/>
      <c r="H81" s="1209"/>
      <c r="I81" s="1262"/>
      <c r="J81" s="1204"/>
      <c r="K81" s="1204"/>
      <c r="L81" s="1204"/>
      <c r="M81" s="636" t="s">
        <v>123</v>
      </c>
      <c r="N81" s="549"/>
      <c r="O81" s="551">
        <v>0</v>
      </c>
      <c r="P81" s="552">
        <v>0</v>
      </c>
      <c r="Q81" s="552">
        <v>0</v>
      </c>
    </row>
    <row r="82" spans="2:18" ht="39" customHeight="1" thickBot="1" x14ac:dyDescent="0.3">
      <c r="B82" s="1204"/>
      <c r="C82" s="1192"/>
      <c r="D82" s="555"/>
      <c r="E82" s="1199"/>
      <c r="F82" s="1201"/>
      <c r="G82" s="1201"/>
      <c r="H82" s="1209"/>
      <c r="I82" s="1262"/>
      <c r="J82" s="1204"/>
      <c r="K82" s="1204"/>
      <c r="L82" s="1204"/>
      <c r="M82" s="672" t="s">
        <v>124</v>
      </c>
      <c r="N82" s="556"/>
      <c r="O82" s="551" t="s">
        <v>618</v>
      </c>
      <c r="P82" s="552" t="s">
        <v>618</v>
      </c>
      <c r="Q82" s="552" t="s">
        <v>618</v>
      </c>
    </row>
    <row r="83" spans="2:18" ht="39" customHeight="1" thickBot="1" x14ac:dyDescent="0.3">
      <c r="B83" s="1205"/>
      <c r="C83" s="1216"/>
      <c r="D83" s="558"/>
      <c r="E83" s="1208"/>
      <c r="F83" s="1202"/>
      <c r="G83" s="1202"/>
      <c r="H83" s="1210"/>
      <c r="I83" s="1263"/>
      <c r="J83" s="1205"/>
      <c r="K83" s="1205"/>
      <c r="L83" s="1205"/>
      <c r="M83" s="547" t="s">
        <v>745</v>
      </c>
      <c r="N83" s="559"/>
      <c r="O83" s="557">
        <v>0</v>
      </c>
      <c r="P83" s="676">
        <v>0</v>
      </c>
      <c r="Q83" s="676">
        <v>0</v>
      </c>
    </row>
    <row r="84" spans="2:18" ht="39.75" customHeight="1" thickBot="1" x14ac:dyDescent="0.3">
      <c r="B84" s="1206" t="s">
        <v>63</v>
      </c>
      <c r="C84" s="1215" t="s">
        <v>510</v>
      </c>
      <c r="D84" s="654">
        <v>27300364</v>
      </c>
      <c r="E84" s="1207" t="s">
        <v>200</v>
      </c>
      <c r="F84" s="1257" t="s">
        <v>875</v>
      </c>
      <c r="G84" s="1200" t="s">
        <v>230</v>
      </c>
      <c r="H84" s="1232" t="s">
        <v>240</v>
      </c>
      <c r="I84" s="1261" t="s">
        <v>263</v>
      </c>
      <c r="J84" s="1223" t="s">
        <v>889</v>
      </c>
      <c r="K84" s="1206" t="s">
        <v>263</v>
      </c>
      <c r="L84" s="1206" t="s">
        <v>263</v>
      </c>
      <c r="M84" s="542" t="s">
        <v>122</v>
      </c>
      <c r="N84" s="543" t="s">
        <v>277</v>
      </c>
      <c r="O84" s="544">
        <f>O85+O86+O87</f>
        <v>972</v>
      </c>
      <c r="P84" s="544">
        <f>P85+P86+P87</f>
        <v>972</v>
      </c>
      <c r="Q84" s="675">
        <f>Q85+Q86+Q87</f>
        <v>972</v>
      </c>
    </row>
    <row r="85" spans="2:18" ht="48.75" customHeight="1" thickBot="1" x14ac:dyDescent="0.3">
      <c r="B85" s="1204"/>
      <c r="C85" s="1192"/>
      <c r="D85" s="555"/>
      <c r="E85" s="1199"/>
      <c r="F85" s="1258"/>
      <c r="G85" s="1201"/>
      <c r="H85" s="1209"/>
      <c r="I85" s="1262"/>
      <c r="J85" s="1224"/>
      <c r="K85" s="1204"/>
      <c r="L85" s="1204"/>
      <c r="M85" s="636" t="s">
        <v>123</v>
      </c>
      <c r="N85" s="549"/>
      <c r="O85" s="551">
        <v>0</v>
      </c>
      <c r="P85" s="552">
        <v>0</v>
      </c>
      <c r="Q85" s="552">
        <v>0</v>
      </c>
      <c r="R85" s="37" t="s">
        <v>876</v>
      </c>
    </row>
    <row r="86" spans="2:18" ht="37.5" customHeight="1" thickBot="1" x14ac:dyDescent="0.3">
      <c r="B86" s="1204"/>
      <c r="C86" s="1192"/>
      <c r="D86" s="555"/>
      <c r="E86" s="1199"/>
      <c r="F86" s="1258"/>
      <c r="G86" s="1201"/>
      <c r="H86" s="1209"/>
      <c r="I86" s="1262"/>
      <c r="J86" s="1224"/>
      <c r="K86" s="1204"/>
      <c r="L86" s="1204"/>
      <c r="M86" s="672" t="s">
        <v>124</v>
      </c>
      <c r="N86" s="556"/>
      <c r="O86" s="551" t="s">
        <v>277</v>
      </c>
      <c r="P86" s="552" t="s">
        <v>277</v>
      </c>
      <c r="Q86" s="552" t="s">
        <v>277</v>
      </c>
    </row>
    <row r="87" spans="2:18" ht="32.25" customHeight="1" thickBot="1" x14ac:dyDescent="0.3">
      <c r="B87" s="1204"/>
      <c r="C87" s="1192"/>
      <c r="D87" s="680"/>
      <c r="E87" s="1199"/>
      <c r="F87" s="1258"/>
      <c r="G87" s="1201"/>
      <c r="H87" s="1209"/>
      <c r="I87" s="1262"/>
      <c r="J87" s="1224"/>
      <c r="K87" s="1204"/>
      <c r="L87" s="1204"/>
      <c r="M87" s="671" t="s">
        <v>745</v>
      </c>
      <c r="N87" s="560"/>
      <c r="O87" s="561">
        <v>0</v>
      </c>
      <c r="P87" s="562">
        <v>0</v>
      </c>
      <c r="Q87" s="562">
        <v>0</v>
      </c>
    </row>
    <row r="88" spans="2:18" ht="20.25" customHeight="1" thickBot="1" x14ac:dyDescent="0.3">
      <c r="B88" s="1206" t="s">
        <v>63</v>
      </c>
      <c r="C88" s="1215" t="s">
        <v>510</v>
      </c>
      <c r="D88" s="654">
        <v>27300364</v>
      </c>
      <c r="E88" s="1207" t="s">
        <v>383</v>
      </c>
      <c r="F88" s="1200" t="s">
        <v>802</v>
      </c>
      <c r="G88" s="1200" t="s">
        <v>230</v>
      </c>
      <c r="H88" s="1232" t="s">
        <v>240</v>
      </c>
      <c r="I88" s="1261" t="s">
        <v>263</v>
      </c>
      <c r="J88" s="1206" t="s">
        <v>803</v>
      </c>
      <c r="K88" s="1206" t="s">
        <v>263</v>
      </c>
      <c r="L88" s="1206" t="s">
        <v>263</v>
      </c>
      <c r="M88" s="542" t="s">
        <v>122</v>
      </c>
      <c r="N88" s="543" t="s">
        <v>277</v>
      </c>
      <c r="O88" s="544">
        <f>O89+O90</f>
        <v>63</v>
      </c>
      <c r="P88" s="544">
        <f>P89+P90</f>
        <v>63</v>
      </c>
      <c r="Q88" s="552">
        <f>Q89+Q90</f>
        <v>63</v>
      </c>
    </row>
    <row r="89" spans="2:18" ht="36" customHeight="1" thickBot="1" x14ac:dyDescent="0.3">
      <c r="B89" s="1204"/>
      <c r="C89" s="1192"/>
      <c r="D89" s="555"/>
      <c r="E89" s="1199"/>
      <c r="F89" s="1201"/>
      <c r="G89" s="1201"/>
      <c r="H89" s="1209"/>
      <c r="I89" s="1262"/>
      <c r="J89" s="1204"/>
      <c r="K89" s="1204"/>
      <c r="L89" s="1204"/>
      <c r="M89" s="636" t="s">
        <v>123</v>
      </c>
      <c r="N89" s="549"/>
      <c r="O89" s="551">
        <v>0</v>
      </c>
      <c r="P89" s="552">
        <v>0</v>
      </c>
      <c r="Q89" s="552">
        <v>0</v>
      </c>
    </row>
    <row r="90" spans="2:18" ht="20.25" customHeight="1" thickBot="1" x14ac:dyDescent="0.3">
      <c r="B90" s="1204"/>
      <c r="C90" s="1192"/>
      <c r="D90" s="555"/>
      <c r="E90" s="1199"/>
      <c r="F90" s="1201"/>
      <c r="G90" s="1201"/>
      <c r="H90" s="1209"/>
      <c r="I90" s="1262"/>
      <c r="J90" s="1204"/>
      <c r="K90" s="1204"/>
      <c r="L90" s="1204"/>
      <c r="M90" s="672" t="s">
        <v>124</v>
      </c>
      <c r="N90" s="556"/>
      <c r="O90" s="551">
        <v>63</v>
      </c>
      <c r="P90" s="552">
        <v>63</v>
      </c>
      <c r="Q90" s="552">
        <v>63</v>
      </c>
    </row>
    <row r="91" spans="2:18" ht="20.25" customHeight="1" thickBot="1" x14ac:dyDescent="0.3">
      <c r="B91" s="1205"/>
      <c r="C91" s="1216"/>
      <c r="D91" s="558"/>
      <c r="E91" s="1208"/>
      <c r="F91" s="1202"/>
      <c r="G91" s="1202"/>
      <c r="H91" s="1210"/>
      <c r="I91" s="1263"/>
      <c r="J91" s="1205"/>
      <c r="K91" s="1205"/>
      <c r="L91" s="1205"/>
      <c r="M91" s="547" t="s">
        <v>745</v>
      </c>
      <c r="N91" s="559"/>
      <c r="O91" s="557">
        <v>0</v>
      </c>
      <c r="P91" s="676">
        <v>0</v>
      </c>
      <c r="Q91" s="676">
        <v>0</v>
      </c>
    </row>
    <row r="92" spans="2:18" ht="28.5" customHeight="1" thickBot="1" x14ac:dyDescent="0.3">
      <c r="B92" s="1204" t="s">
        <v>63</v>
      </c>
      <c r="C92" s="1259" t="s">
        <v>586</v>
      </c>
      <c r="D92" s="682" t="s">
        <v>116</v>
      </c>
      <c r="E92" s="1199" t="s">
        <v>116</v>
      </c>
      <c r="F92" s="1199" t="s">
        <v>584</v>
      </c>
      <c r="G92" s="1199" t="s">
        <v>116</v>
      </c>
      <c r="H92" s="1209" t="s">
        <v>116</v>
      </c>
      <c r="I92" s="1204" t="s">
        <v>116</v>
      </c>
      <c r="J92" s="1204" t="s">
        <v>116</v>
      </c>
      <c r="K92" s="1204" t="s">
        <v>116</v>
      </c>
      <c r="L92" s="1204" t="s">
        <v>116</v>
      </c>
      <c r="M92" s="672" t="s">
        <v>122</v>
      </c>
      <c r="N92" s="550" t="str">
        <f>N96</f>
        <v>9415,882</v>
      </c>
      <c r="O92" s="561">
        <f>O94</f>
        <v>13006.272000000001</v>
      </c>
      <c r="P92" s="561">
        <f>P94</f>
        <v>13286.672</v>
      </c>
      <c r="Q92" s="562">
        <f>Q94</f>
        <v>13581.482</v>
      </c>
    </row>
    <row r="93" spans="2:18" ht="24" customHeight="1" thickBot="1" x14ac:dyDescent="0.3">
      <c r="B93" s="1204"/>
      <c r="C93" s="1259"/>
      <c r="D93" s="673"/>
      <c r="E93" s="1199"/>
      <c r="F93" s="1199"/>
      <c r="G93" s="1199"/>
      <c r="H93" s="1209"/>
      <c r="I93" s="1204"/>
      <c r="J93" s="1204"/>
      <c r="K93" s="1204"/>
      <c r="L93" s="1204"/>
      <c r="M93" s="636" t="s">
        <v>123</v>
      </c>
      <c r="N93" s="549"/>
      <c r="O93" s="551">
        <v>0</v>
      </c>
      <c r="P93" s="552">
        <v>0</v>
      </c>
      <c r="Q93" s="552">
        <v>0</v>
      </c>
    </row>
    <row r="94" spans="2:18" ht="24" customHeight="1" thickBot="1" x14ac:dyDescent="0.3">
      <c r="B94" s="1204"/>
      <c r="C94" s="1259"/>
      <c r="D94" s="673"/>
      <c r="E94" s="1199"/>
      <c r="F94" s="1199"/>
      <c r="G94" s="1199"/>
      <c r="H94" s="1209"/>
      <c r="I94" s="1204"/>
      <c r="J94" s="1204"/>
      <c r="K94" s="1204"/>
      <c r="L94" s="1204"/>
      <c r="M94" s="672" t="s">
        <v>124</v>
      </c>
      <c r="N94" s="550"/>
      <c r="O94" s="561">
        <f>O98</f>
        <v>13006.272000000001</v>
      </c>
      <c r="P94" s="561">
        <f>P98</f>
        <v>13286.672</v>
      </c>
      <c r="Q94" s="552">
        <f>Q98</f>
        <v>13581.482</v>
      </c>
    </row>
    <row r="95" spans="2:18" ht="23.25" customHeight="1" thickBot="1" x14ac:dyDescent="0.3">
      <c r="B95" s="1205"/>
      <c r="C95" s="1260"/>
      <c r="D95" s="674"/>
      <c r="E95" s="1208"/>
      <c r="F95" s="1208"/>
      <c r="G95" s="1208"/>
      <c r="H95" s="1210"/>
      <c r="I95" s="1205"/>
      <c r="J95" s="1205"/>
      <c r="K95" s="1205"/>
      <c r="L95" s="1205"/>
      <c r="M95" s="547" t="s">
        <v>745</v>
      </c>
      <c r="N95" s="549"/>
      <c r="O95" s="551">
        <v>0</v>
      </c>
      <c r="P95" s="552">
        <v>0</v>
      </c>
      <c r="Q95" s="552">
        <v>0</v>
      </c>
    </row>
    <row r="96" spans="2:18" ht="53.25" customHeight="1" thickBot="1" x14ac:dyDescent="0.3">
      <c r="B96" s="1206" t="s">
        <v>63</v>
      </c>
      <c r="C96" s="1215" t="s">
        <v>586</v>
      </c>
      <c r="D96" s="1229" t="s">
        <v>285</v>
      </c>
      <c r="E96" s="1207" t="s">
        <v>503</v>
      </c>
      <c r="F96" s="564" t="s">
        <v>286</v>
      </c>
      <c r="G96" s="565" t="s">
        <v>187</v>
      </c>
      <c r="H96" s="566" t="s">
        <v>241</v>
      </c>
      <c r="I96" s="547" t="s">
        <v>574</v>
      </c>
      <c r="J96" s="1206" t="s">
        <v>462</v>
      </c>
      <c r="K96" s="547" t="s">
        <v>574</v>
      </c>
      <c r="L96" s="547" t="s">
        <v>574</v>
      </c>
      <c r="M96" s="542" t="s">
        <v>122</v>
      </c>
      <c r="N96" s="543" t="s">
        <v>687</v>
      </c>
      <c r="O96" s="544">
        <f>O97+O98</f>
        <v>13006.272000000001</v>
      </c>
      <c r="P96" s="544">
        <f>P97+P98</f>
        <v>13286.672</v>
      </c>
      <c r="Q96" s="552">
        <f>Q97+Q98</f>
        <v>13581.482</v>
      </c>
      <c r="R96" s="149"/>
    </row>
    <row r="97" spans="2:22" ht="27" customHeight="1" thickBot="1" x14ac:dyDescent="0.3">
      <c r="B97" s="1204"/>
      <c r="C97" s="1192"/>
      <c r="D97" s="1245"/>
      <c r="E97" s="1199"/>
      <c r="F97" s="1251" t="s">
        <v>287</v>
      </c>
      <c r="G97" s="1253" t="s">
        <v>234</v>
      </c>
      <c r="H97" s="1199" t="s">
        <v>393</v>
      </c>
      <c r="I97" s="1204" t="s">
        <v>270</v>
      </c>
      <c r="J97" s="1204"/>
      <c r="K97" s="1204" t="s">
        <v>270</v>
      </c>
      <c r="L97" s="1204" t="s">
        <v>270</v>
      </c>
      <c r="M97" s="636" t="s">
        <v>123</v>
      </c>
      <c r="N97" s="549"/>
      <c r="O97" s="551">
        <v>0</v>
      </c>
      <c r="P97" s="552">
        <v>0</v>
      </c>
      <c r="Q97" s="552">
        <v>0</v>
      </c>
    </row>
    <row r="98" spans="2:22" ht="27.75" customHeight="1" thickBot="1" x14ac:dyDescent="0.3">
      <c r="B98" s="1204"/>
      <c r="C98" s="1192"/>
      <c r="D98" s="682"/>
      <c r="E98" s="1199"/>
      <c r="F98" s="1251"/>
      <c r="G98" s="1253"/>
      <c r="H98" s="1199"/>
      <c r="I98" s="1204"/>
      <c r="J98" s="1204"/>
      <c r="K98" s="1204"/>
      <c r="L98" s="1204"/>
      <c r="M98" s="672" t="s">
        <v>124</v>
      </c>
      <c r="N98" s="550"/>
      <c r="O98" s="544">
        <v>13006.272000000001</v>
      </c>
      <c r="P98" s="675">
        <v>13286.672</v>
      </c>
      <c r="Q98" s="675">
        <v>13581.482</v>
      </c>
    </row>
    <row r="99" spans="2:22" ht="39" customHeight="1" thickBot="1" x14ac:dyDescent="0.3">
      <c r="B99" s="1241"/>
      <c r="C99" s="1216"/>
      <c r="D99" s="674"/>
      <c r="E99" s="1208"/>
      <c r="F99" s="1252"/>
      <c r="G99" s="1254"/>
      <c r="H99" s="1208"/>
      <c r="I99" s="1205"/>
      <c r="J99" s="1205"/>
      <c r="K99" s="1205"/>
      <c r="L99" s="1205"/>
      <c r="M99" s="547" t="s">
        <v>745</v>
      </c>
      <c r="N99" s="549"/>
      <c r="O99" s="551">
        <v>0</v>
      </c>
      <c r="P99" s="552">
        <v>0</v>
      </c>
      <c r="Q99" s="552">
        <v>0</v>
      </c>
    </row>
    <row r="100" spans="2:22" ht="23.25" customHeight="1" thickBot="1" x14ac:dyDescent="0.3">
      <c r="B100" s="1240" t="s">
        <v>63</v>
      </c>
      <c r="C100" s="1215" t="s">
        <v>291</v>
      </c>
      <c r="D100" s="654" t="s">
        <v>116</v>
      </c>
      <c r="E100" s="1207" t="s">
        <v>116</v>
      </c>
      <c r="F100" s="1207" t="s">
        <v>77</v>
      </c>
      <c r="G100" s="1200" t="s">
        <v>559</v>
      </c>
      <c r="H100" s="1232" t="s">
        <v>240</v>
      </c>
      <c r="I100" s="1206" t="s">
        <v>560</v>
      </c>
      <c r="J100" s="1206" t="s">
        <v>462</v>
      </c>
      <c r="K100" s="683" t="s">
        <v>199</v>
      </c>
      <c r="L100" s="1206" t="s">
        <v>199</v>
      </c>
      <c r="M100" s="542" t="s">
        <v>122</v>
      </c>
      <c r="N100" s="567">
        <f>N104+N108</f>
        <v>3508.9989999999998</v>
      </c>
      <c r="O100" s="551">
        <f>O101+O102</f>
        <v>5550</v>
      </c>
      <c r="P100" s="552">
        <f>P101+P102</f>
        <v>4000</v>
      </c>
      <c r="Q100" s="549">
        <f>Q101+Q102</f>
        <v>0</v>
      </c>
    </row>
    <row r="101" spans="2:22" ht="25.5" customHeight="1" thickBot="1" x14ac:dyDescent="0.3">
      <c r="B101" s="1204"/>
      <c r="C101" s="1192"/>
      <c r="D101" s="673"/>
      <c r="E101" s="1199"/>
      <c r="F101" s="1199"/>
      <c r="G101" s="1201"/>
      <c r="H101" s="1209"/>
      <c r="I101" s="1204"/>
      <c r="J101" s="1204"/>
      <c r="K101" s="684"/>
      <c r="L101" s="1204"/>
      <c r="M101" s="636" t="s">
        <v>123</v>
      </c>
      <c r="N101" s="550"/>
      <c r="O101" s="681">
        <v>0</v>
      </c>
      <c r="P101" s="676">
        <v>0</v>
      </c>
      <c r="Q101" s="552">
        <v>0</v>
      </c>
    </row>
    <row r="102" spans="2:22" ht="22.5" customHeight="1" thickBot="1" x14ac:dyDescent="0.3">
      <c r="B102" s="1204"/>
      <c r="C102" s="1192"/>
      <c r="D102" s="673"/>
      <c r="E102" s="1199"/>
      <c r="F102" s="1199"/>
      <c r="G102" s="1201"/>
      <c r="H102" s="1209"/>
      <c r="I102" s="1204"/>
      <c r="J102" s="1204"/>
      <c r="K102" s="684"/>
      <c r="L102" s="1204"/>
      <c r="M102" s="672" t="s">
        <v>124</v>
      </c>
      <c r="N102" s="550"/>
      <c r="O102" s="551">
        <f t="shared" ref="O102:Q103" si="2">O106+O110+O114+O118</f>
        <v>5550</v>
      </c>
      <c r="P102" s="552">
        <f t="shared" si="2"/>
        <v>4000</v>
      </c>
      <c r="Q102" s="549">
        <f t="shared" si="2"/>
        <v>0</v>
      </c>
    </row>
    <row r="103" spans="2:22" ht="23.25" customHeight="1" thickBot="1" x14ac:dyDescent="0.3">
      <c r="B103" s="1241"/>
      <c r="C103" s="1216"/>
      <c r="D103" s="674"/>
      <c r="E103" s="1208"/>
      <c r="F103" s="1208"/>
      <c r="G103" s="1202"/>
      <c r="H103" s="1210"/>
      <c r="I103" s="1205"/>
      <c r="J103" s="1205"/>
      <c r="K103" s="685"/>
      <c r="L103" s="1205"/>
      <c r="M103" s="547" t="s">
        <v>745</v>
      </c>
      <c r="N103" s="563"/>
      <c r="O103" s="551">
        <f>O107+O111+O115+O119</f>
        <v>3284.9989999999998</v>
      </c>
      <c r="P103" s="552">
        <f t="shared" si="2"/>
        <v>0</v>
      </c>
      <c r="Q103" s="549">
        <f t="shared" si="2"/>
        <v>0</v>
      </c>
    </row>
    <row r="104" spans="2:22" ht="26.25" customHeight="1" thickBot="1" x14ac:dyDescent="0.3">
      <c r="B104" s="1240" t="s">
        <v>63</v>
      </c>
      <c r="C104" s="1215" t="s">
        <v>291</v>
      </c>
      <c r="D104" s="673" t="s">
        <v>285</v>
      </c>
      <c r="E104" s="1207" t="s">
        <v>503</v>
      </c>
      <c r="F104" s="1200" t="s">
        <v>787</v>
      </c>
      <c r="G104" s="1200" t="s">
        <v>388</v>
      </c>
      <c r="H104" s="1308" t="s">
        <v>240</v>
      </c>
      <c r="I104" s="1206" t="s">
        <v>263</v>
      </c>
      <c r="J104" s="1206" t="s">
        <v>462</v>
      </c>
      <c r="K104" s="1206" t="s">
        <v>199</v>
      </c>
      <c r="L104" s="1206" t="s">
        <v>199</v>
      </c>
      <c r="M104" s="542" t="s">
        <v>122</v>
      </c>
      <c r="N104" s="550">
        <v>2958.9989999999998</v>
      </c>
      <c r="O104" s="551">
        <f>O105+O106</f>
        <v>0</v>
      </c>
      <c r="P104" s="552">
        <f>P105+P106</f>
        <v>0</v>
      </c>
      <c r="Q104" s="549">
        <f>Q105+Q106</f>
        <v>0</v>
      </c>
      <c r="R104" s="48"/>
      <c r="S104" s="48"/>
      <c r="T104" s="48"/>
      <c r="U104" s="48"/>
      <c r="V104" s="48"/>
    </row>
    <row r="105" spans="2:22" ht="22.5" customHeight="1" thickBot="1" x14ac:dyDescent="0.3">
      <c r="B105" s="1204"/>
      <c r="C105" s="1192"/>
      <c r="D105" s="673"/>
      <c r="E105" s="1199"/>
      <c r="F105" s="1201"/>
      <c r="G105" s="1201"/>
      <c r="H105" s="1259"/>
      <c r="I105" s="1204"/>
      <c r="J105" s="1204"/>
      <c r="K105" s="1204"/>
      <c r="L105" s="1204"/>
      <c r="M105" s="636" t="s">
        <v>123</v>
      </c>
      <c r="N105" s="550"/>
      <c r="O105" s="681">
        <v>0</v>
      </c>
      <c r="P105" s="676">
        <v>0</v>
      </c>
      <c r="Q105" s="670" t="s">
        <v>695</v>
      </c>
      <c r="R105" s="48"/>
      <c r="S105" s="48"/>
      <c r="T105" s="48"/>
      <c r="U105" s="48"/>
      <c r="V105" s="48"/>
    </row>
    <row r="106" spans="2:22" ht="19.5" customHeight="1" thickBot="1" x14ac:dyDescent="0.3">
      <c r="B106" s="1204"/>
      <c r="C106" s="1192"/>
      <c r="D106" s="673"/>
      <c r="E106" s="1199"/>
      <c r="F106" s="1201"/>
      <c r="G106" s="1201"/>
      <c r="H106" s="1259"/>
      <c r="I106" s="1204"/>
      <c r="J106" s="1204"/>
      <c r="K106" s="1204"/>
      <c r="L106" s="1204"/>
      <c r="M106" s="672" t="s">
        <v>124</v>
      </c>
      <c r="N106" s="550"/>
      <c r="O106" s="681">
        <v>0</v>
      </c>
      <c r="P106" s="676">
        <v>0</v>
      </c>
      <c r="Q106" s="670" t="s">
        <v>695</v>
      </c>
      <c r="R106" s="48"/>
      <c r="S106" s="48"/>
      <c r="T106" s="48"/>
      <c r="U106" s="48"/>
      <c r="V106" s="48"/>
    </row>
    <row r="107" spans="2:22" ht="21" customHeight="1" thickBot="1" x14ac:dyDescent="0.3">
      <c r="B107" s="1205"/>
      <c r="C107" s="1216"/>
      <c r="D107" s="673"/>
      <c r="E107" s="1208"/>
      <c r="F107" s="1202"/>
      <c r="G107" s="1202"/>
      <c r="H107" s="1260"/>
      <c r="I107" s="1205"/>
      <c r="J107" s="1205"/>
      <c r="K107" s="1205"/>
      <c r="L107" s="1205"/>
      <c r="M107" s="547" t="s">
        <v>745</v>
      </c>
      <c r="N107" s="550"/>
      <c r="O107" s="681">
        <v>2734.9989999999998</v>
      </c>
      <c r="P107" s="676">
        <v>0</v>
      </c>
      <c r="Q107" s="670" t="s">
        <v>695</v>
      </c>
      <c r="R107" s="48"/>
      <c r="S107" s="48"/>
      <c r="T107" s="48"/>
      <c r="U107" s="48"/>
      <c r="V107" s="48"/>
    </row>
    <row r="108" spans="2:22" ht="26.25" customHeight="1" thickBot="1" x14ac:dyDescent="0.3">
      <c r="B108" s="1206" t="s">
        <v>63</v>
      </c>
      <c r="C108" s="1215" t="s">
        <v>291</v>
      </c>
      <c r="D108" s="704" t="s">
        <v>285</v>
      </c>
      <c r="E108" s="1207" t="s">
        <v>503</v>
      </c>
      <c r="F108" s="1200" t="s">
        <v>666</v>
      </c>
      <c r="G108" s="1200" t="s">
        <v>667</v>
      </c>
      <c r="H108" s="1232" t="s">
        <v>240</v>
      </c>
      <c r="I108" s="1206" t="s">
        <v>263</v>
      </c>
      <c r="J108" s="1206" t="s">
        <v>462</v>
      </c>
      <c r="K108" s="1206" t="s">
        <v>199</v>
      </c>
      <c r="L108" s="1206" t="s">
        <v>199</v>
      </c>
      <c r="M108" s="542" t="s">
        <v>122</v>
      </c>
      <c r="N108" s="568" t="s">
        <v>665</v>
      </c>
      <c r="O108" s="551">
        <f>O109+O110</f>
        <v>0</v>
      </c>
      <c r="P108" s="552">
        <f>P109+P110</f>
        <v>0</v>
      </c>
      <c r="Q108" s="549">
        <f>Q109+Q110</f>
        <v>0</v>
      </c>
      <c r="R108" s="48"/>
      <c r="S108" s="48"/>
      <c r="T108" s="48"/>
      <c r="U108" s="48"/>
      <c r="V108" s="48"/>
    </row>
    <row r="109" spans="2:22" ht="26.25" customHeight="1" thickBot="1" x14ac:dyDescent="0.3">
      <c r="B109" s="1204"/>
      <c r="C109" s="1192"/>
      <c r="D109" s="673"/>
      <c r="E109" s="1199"/>
      <c r="F109" s="1201"/>
      <c r="G109" s="1201"/>
      <c r="H109" s="1209"/>
      <c r="I109" s="1204"/>
      <c r="J109" s="1204"/>
      <c r="K109" s="1204"/>
      <c r="L109" s="1204"/>
      <c r="M109" s="636" t="s">
        <v>123</v>
      </c>
      <c r="N109" s="569"/>
      <c r="O109" s="681">
        <v>0</v>
      </c>
      <c r="P109" s="676">
        <v>0</v>
      </c>
      <c r="Q109" s="547" t="s">
        <v>695</v>
      </c>
      <c r="R109" s="48"/>
      <c r="S109" s="48"/>
      <c r="T109" s="48"/>
      <c r="U109" s="48"/>
      <c r="V109" s="48"/>
    </row>
    <row r="110" spans="2:22" ht="23.25" customHeight="1" thickBot="1" x14ac:dyDescent="0.3">
      <c r="B110" s="1204"/>
      <c r="C110" s="1192"/>
      <c r="D110" s="673"/>
      <c r="E110" s="1199"/>
      <c r="F110" s="1201"/>
      <c r="G110" s="1201"/>
      <c r="H110" s="1209"/>
      <c r="I110" s="1204"/>
      <c r="J110" s="1204"/>
      <c r="K110" s="1204"/>
      <c r="L110" s="1204"/>
      <c r="M110" s="672" t="s">
        <v>124</v>
      </c>
      <c r="N110" s="569"/>
      <c r="O110" s="681">
        <v>0</v>
      </c>
      <c r="P110" s="676">
        <v>0</v>
      </c>
      <c r="Q110" s="547" t="s">
        <v>695</v>
      </c>
      <c r="R110" s="48"/>
      <c r="S110" s="48"/>
      <c r="T110" s="48"/>
      <c r="U110" s="48"/>
      <c r="V110" s="48"/>
    </row>
    <row r="111" spans="2:22" ht="23.25" customHeight="1" thickBot="1" x14ac:dyDescent="0.3">
      <c r="B111" s="1204"/>
      <c r="C111" s="1192"/>
      <c r="D111" s="673"/>
      <c r="E111" s="1199"/>
      <c r="F111" s="1201"/>
      <c r="G111" s="1201"/>
      <c r="H111" s="1209"/>
      <c r="I111" s="1204"/>
      <c r="J111" s="1204"/>
      <c r="K111" s="1204"/>
      <c r="L111" s="1204"/>
      <c r="M111" s="547" t="s">
        <v>745</v>
      </c>
      <c r="N111" s="569"/>
      <c r="O111" s="681">
        <v>550</v>
      </c>
      <c r="P111" s="676">
        <v>0</v>
      </c>
      <c r="Q111" s="547" t="s">
        <v>695</v>
      </c>
      <c r="R111" s="48"/>
      <c r="S111" s="48"/>
      <c r="T111" s="48"/>
      <c r="U111" s="48"/>
      <c r="V111" s="48"/>
    </row>
    <row r="112" spans="2:22" ht="23.25" customHeight="1" thickBot="1" x14ac:dyDescent="0.3">
      <c r="B112" s="1206" t="s">
        <v>63</v>
      </c>
      <c r="C112" s="1215" t="s">
        <v>291</v>
      </c>
      <c r="D112" s="704" t="s">
        <v>285</v>
      </c>
      <c r="E112" s="1207" t="s">
        <v>503</v>
      </c>
      <c r="F112" s="1200" t="s">
        <v>791</v>
      </c>
      <c r="G112" s="1207" t="s">
        <v>792</v>
      </c>
      <c r="H112" s="1232" t="s">
        <v>240</v>
      </c>
      <c r="I112" s="1206" t="s">
        <v>263</v>
      </c>
      <c r="J112" s="1206" t="s">
        <v>462</v>
      </c>
      <c r="K112" s="1206" t="s">
        <v>199</v>
      </c>
      <c r="L112" s="1206" t="s">
        <v>199</v>
      </c>
      <c r="M112" s="542" t="s">
        <v>122</v>
      </c>
      <c r="N112" s="569"/>
      <c r="O112" s="551">
        <f>O113+O114</f>
        <v>5550</v>
      </c>
      <c r="P112" s="552">
        <f>P113+P114</f>
        <v>0</v>
      </c>
      <c r="Q112" s="549">
        <f>Q113+Q114</f>
        <v>0</v>
      </c>
      <c r="R112" s="48"/>
      <c r="S112" s="48"/>
      <c r="T112" s="48"/>
      <c r="U112" s="48"/>
      <c r="V112" s="48"/>
    </row>
    <row r="113" spans="2:22" ht="23.25" customHeight="1" thickBot="1" x14ac:dyDescent="0.3">
      <c r="B113" s="1204"/>
      <c r="C113" s="1192"/>
      <c r="D113" s="673"/>
      <c r="E113" s="1199"/>
      <c r="F113" s="1201"/>
      <c r="G113" s="1199"/>
      <c r="H113" s="1209"/>
      <c r="I113" s="1204"/>
      <c r="J113" s="1204"/>
      <c r="K113" s="1204"/>
      <c r="L113" s="1204"/>
      <c r="M113" s="636" t="s">
        <v>123</v>
      </c>
      <c r="N113" s="569"/>
      <c r="O113" s="681">
        <v>0</v>
      </c>
      <c r="P113" s="676">
        <v>0</v>
      </c>
      <c r="Q113" s="547" t="s">
        <v>695</v>
      </c>
      <c r="R113" s="48"/>
      <c r="S113" s="48"/>
      <c r="T113" s="48"/>
      <c r="U113" s="48"/>
      <c r="V113" s="48"/>
    </row>
    <row r="114" spans="2:22" ht="23.25" customHeight="1" thickBot="1" x14ac:dyDescent="0.3">
      <c r="B114" s="1204"/>
      <c r="C114" s="1192"/>
      <c r="D114" s="673"/>
      <c r="E114" s="1199"/>
      <c r="F114" s="1201"/>
      <c r="G114" s="1199"/>
      <c r="H114" s="1209"/>
      <c r="I114" s="1204"/>
      <c r="J114" s="1204"/>
      <c r="K114" s="1204"/>
      <c r="L114" s="1204"/>
      <c r="M114" s="672" t="s">
        <v>124</v>
      </c>
      <c r="N114" s="569"/>
      <c r="O114" s="681">
        <v>5550</v>
      </c>
      <c r="P114" s="676">
        <v>0</v>
      </c>
      <c r="Q114" s="547" t="s">
        <v>788</v>
      </c>
      <c r="R114" s="48"/>
      <c r="S114" s="48"/>
      <c r="T114" s="48"/>
      <c r="U114" s="48"/>
      <c r="V114" s="48"/>
    </row>
    <row r="115" spans="2:22" ht="23.25" customHeight="1" thickBot="1" x14ac:dyDescent="0.3">
      <c r="B115" s="1204"/>
      <c r="C115" s="1192"/>
      <c r="D115" s="673"/>
      <c r="E115" s="1199"/>
      <c r="F115" s="1201"/>
      <c r="G115" s="1199"/>
      <c r="H115" s="1209"/>
      <c r="I115" s="1204"/>
      <c r="J115" s="1204"/>
      <c r="K115" s="1204"/>
      <c r="L115" s="1204"/>
      <c r="M115" s="671" t="s">
        <v>745</v>
      </c>
      <c r="N115" s="570"/>
      <c r="O115" s="690">
        <v>0</v>
      </c>
      <c r="P115" s="562">
        <v>0</v>
      </c>
      <c r="Q115" s="671" t="s">
        <v>695</v>
      </c>
      <c r="R115" s="48"/>
      <c r="S115" s="48"/>
      <c r="T115" s="48"/>
      <c r="U115" s="48"/>
      <c r="V115" s="48"/>
    </row>
    <row r="116" spans="2:22" ht="23.25" customHeight="1" thickBot="1" x14ac:dyDescent="0.3">
      <c r="B116" s="1206" t="s">
        <v>63</v>
      </c>
      <c r="C116" s="1215" t="s">
        <v>291</v>
      </c>
      <c r="D116" s="704" t="s">
        <v>285</v>
      </c>
      <c r="E116" s="1207" t="s">
        <v>503</v>
      </c>
      <c r="F116" s="1200" t="s">
        <v>793</v>
      </c>
      <c r="G116" s="1207" t="s">
        <v>794</v>
      </c>
      <c r="H116" s="1232" t="s">
        <v>240</v>
      </c>
      <c r="I116" s="1206" t="s">
        <v>263</v>
      </c>
      <c r="J116" s="1206" t="s">
        <v>528</v>
      </c>
      <c r="K116" s="1206" t="s">
        <v>263</v>
      </c>
      <c r="L116" s="1206" t="s">
        <v>199</v>
      </c>
      <c r="M116" s="542" t="s">
        <v>122</v>
      </c>
      <c r="N116" s="568"/>
      <c r="O116" s="551">
        <f>O117+O118</f>
        <v>0</v>
      </c>
      <c r="P116" s="552">
        <f>P117+P118</f>
        <v>4000</v>
      </c>
      <c r="Q116" s="549">
        <f>Q117+Q118</f>
        <v>0</v>
      </c>
      <c r="R116" s="48"/>
      <c r="S116" s="48"/>
      <c r="T116" s="48"/>
      <c r="U116" s="48"/>
      <c r="V116" s="48"/>
    </row>
    <row r="117" spans="2:22" ht="23.25" customHeight="1" thickBot="1" x14ac:dyDescent="0.3">
      <c r="B117" s="1204"/>
      <c r="C117" s="1192"/>
      <c r="D117" s="673"/>
      <c r="E117" s="1199"/>
      <c r="F117" s="1201"/>
      <c r="G117" s="1199"/>
      <c r="H117" s="1209"/>
      <c r="I117" s="1204"/>
      <c r="J117" s="1204"/>
      <c r="K117" s="1204"/>
      <c r="L117" s="1204"/>
      <c r="M117" s="636" t="s">
        <v>123</v>
      </c>
      <c r="N117" s="569"/>
      <c r="O117" s="681">
        <v>0</v>
      </c>
      <c r="P117" s="676">
        <v>0</v>
      </c>
      <c r="Q117" s="547" t="s">
        <v>695</v>
      </c>
      <c r="R117" s="48"/>
      <c r="S117" s="48"/>
      <c r="T117" s="48"/>
      <c r="U117" s="48"/>
      <c r="V117" s="48"/>
    </row>
    <row r="118" spans="2:22" ht="23.25" customHeight="1" thickBot="1" x14ac:dyDescent="0.3">
      <c r="B118" s="1204"/>
      <c r="C118" s="1192"/>
      <c r="D118" s="673"/>
      <c r="E118" s="1199"/>
      <c r="F118" s="1201"/>
      <c r="G118" s="1199"/>
      <c r="H118" s="1209"/>
      <c r="I118" s="1204"/>
      <c r="J118" s="1204"/>
      <c r="K118" s="1204"/>
      <c r="L118" s="1204"/>
      <c r="M118" s="672" t="s">
        <v>124</v>
      </c>
      <c r="N118" s="569"/>
      <c r="O118" s="681">
        <v>0</v>
      </c>
      <c r="P118" s="676">
        <v>4000</v>
      </c>
      <c r="Q118" s="547" t="s">
        <v>695</v>
      </c>
      <c r="R118" s="48"/>
      <c r="S118" s="48"/>
      <c r="T118" s="48"/>
      <c r="U118" s="48"/>
      <c r="V118" s="48"/>
    </row>
    <row r="119" spans="2:22" ht="23.25" customHeight="1" thickBot="1" x14ac:dyDescent="0.3">
      <c r="B119" s="1205"/>
      <c r="C119" s="1216"/>
      <c r="D119" s="674"/>
      <c r="E119" s="1208"/>
      <c r="F119" s="1202"/>
      <c r="G119" s="1208"/>
      <c r="H119" s="1210"/>
      <c r="I119" s="1205"/>
      <c r="J119" s="1205"/>
      <c r="K119" s="1204"/>
      <c r="L119" s="1205"/>
      <c r="M119" s="547" t="s">
        <v>745</v>
      </c>
      <c r="N119" s="569"/>
      <c r="O119" s="681">
        <v>0</v>
      </c>
      <c r="P119" s="676">
        <v>0</v>
      </c>
      <c r="Q119" s="547" t="s">
        <v>695</v>
      </c>
      <c r="R119" s="48"/>
      <c r="S119" s="48"/>
      <c r="T119" s="48"/>
      <c r="U119" s="48"/>
      <c r="V119" s="48"/>
    </row>
    <row r="120" spans="2:22" ht="24.75" customHeight="1" thickBot="1" x14ac:dyDescent="0.3">
      <c r="B120" s="1206" t="s">
        <v>63</v>
      </c>
      <c r="C120" s="1215" t="s">
        <v>295</v>
      </c>
      <c r="D120" s="694" t="s">
        <v>285</v>
      </c>
      <c r="E120" s="1207" t="s">
        <v>503</v>
      </c>
      <c r="F120" s="1207" t="s">
        <v>280</v>
      </c>
      <c r="G120" s="1207" t="s">
        <v>116</v>
      </c>
      <c r="H120" s="1207" t="s">
        <v>116</v>
      </c>
      <c r="I120" s="1206" t="s">
        <v>116</v>
      </c>
      <c r="J120" s="1206" t="s">
        <v>116</v>
      </c>
      <c r="K120" s="1206" t="s">
        <v>116</v>
      </c>
      <c r="L120" s="1206" t="s">
        <v>116</v>
      </c>
      <c r="M120" s="542" t="s">
        <v>122</v>
      </c>
      <c r="N120" s="568" t="s">
        <v>694</v>
      </c>
      <c r="O120" s="551">
        <f>O121+O122</f>
        <v>0</v>
      </c>
      <c r="P120" s="552">
        <f>P121+P122</f>
        <v>0</v>
      </c>
      <c r="Q120" s="549">
        <f>Q121+Q122</f>
        <v>1424.45</v>
      </c>
      <c r="R120" s="48"/>
      <c r="S120" s="48"/>
      <c r="T120" s="48"/>
      <c r="U120" s="48"/>
      <c r="V120" s="48"/>
    </row>
    <row r="121" spans="2:22" ht="24.75" customHeight="1" thickBot="1" x14ac:dyDescent="0.3">
      <c r="B121" s="1204"/>
      <c r="C121" s="1192"/>
      <c r="D121" s="673"/>
      <c r="E121" s="1199"/>
      <c r="F121" s="1199"/>
      <c r="G121" s="1199"/>
      <c r="H121" s="1199"/>
      <c r="I121" s="1204"/>
      <c r="J121" s="1204"/>
      <c r="K121" s="1204"/>
      <c r="L121" s="1204"/>
      <c r="M121" s="636" t="s">
        <v>123</v>
      </c>
      <c r="N121" s="569"/>
      <c r="O121" s="681">
        <v>0</v>
      </c>
      <c r="P121" s="676">
        <v>0</v>
      </c>
      <c r="Q121" s="547" t="s">
        <v>695</v>
      </c>
      <c r="R121" s="48"/>
      <c r="S121" s="48"/>
      <c r="T121" s="48"/>
      <c r="U121" s="48"/>
      <c r="V121" s="48"/>
    </row>
    <row r="122" spans="2:22" ht="24" customHeight="1" thickBot="1" x14ac:dyDescent="0.3">
      <c r="B122" s="1204"/>
      <c r="C122" s="1192"/>
      <c r="D122" s="673"/>
      <c r="E122" s="1199"/>
      <c r="F122" s="1199"/>
      <c r="G122" s="1199"/>
      <c r="H122" s="1199"/>
      <c r="I122" s="1204"/>
      <c r="J122" s="1204"/>
      <c r="K122" s="1204"/>
      <c r="L122" s="1204"/>
      <c r="M122" s="672" t="s">
        <v>124</v>
      </c>
      <c r="N122" s="569"/>
      <c r="O122" s="681">
        <f t="shared" ref="O122:Q123" si="3">O126+O130</f>
        <v>0</v>
      </c>
      <c r="P122" s="552">
        <f t="shared" si="3"/>
        <v>0</v>
      </c>
      <c r="Q122" s="552">
        <f t="shared" si="3"/>
        <v>1424.45</v>
      </c>
      <c r="R122" s="48"/>
      <c r="S122" s="48"/>
      <c r="T122" s="48"/>
      <c r="U122" s="48"/>
      <c r="V122" s="48"/>
    </row>
    <row r="123" spans="2:22" ht="24.75" customHeight="1" thickBot="1" x14ac:dyDescent="0.3">
      <c r="B123" s="1205"/>
      <c r="C123" s="1216"/>
      <c r="D123" s="674"/>
      <c r="E123" s="1208"/>
      <c r="F123" s="1208"/>
      <c r="G123" s="1208"/>
      <c r="H123" s="1208"/>
      <c r="I123" s="1205"/>
      <c r="J123" s="1205"/>
      <c r="K123" s="1205"/>
      <c r="L123" s="1205"/>
      <c r="M123" s="547" t="s">
        <v>745</v>
      </c>
      <c r="N123" s="569"/>
      <c r="O123" s="681">
        <f t="shared" si="3"/>
        <v>2200</v>
      </c>
      <c r="P123" s="552">
        <f t="shared" si="3"/>
        <v>0</v>
      </c>
      <c r="Q123" s="552">
        <f t="shared" si="3"/>
        <v>0</v>
      </c>
      <c r="R123" s="48"/>
      <c r="S123" s="48"/>
      <c r="T123" s="48"/>
      <c r="U123" s="48"/>
      <c r="V123" s="48"/>
    </row>
    <row r="124" spans="2:22" ht="24" customHeight="1" thickBot="1" x14ac:dyDescent="0.3">
      <c r="B124" s="1206" t="s">
        <v>63</v>
      </c>
      <c r="C124" s="1207" t="s">
        <v>295</v>
      </c>
      <c r="D124" s="694" t="s">
        <v>285</v>
      </c>
      <c r="E124" s="1229" t="s">
        <v>503</v>
      </c>
      <c r="F124" s="1200" t="s">
        <v>691</v>
      </c>
      <c r="G124" s="1193" t="s">
        <v>190</v>
      </c>
      <c r="H124" s="1232" t="s">
        <v>240</v>
      </c>
      <c r="I124" s="1206" t="s">
        <v>263</v>
      </c>
      <c r="J124" s="1206" t="s">
        <v>462</v>
      </c>
      <c r="K124" s="1206" t="s">
        <v>199</v>
      </c>
      <c r="L124" s="1206" t="s">
        <v>199</v>
      </c>
      <c r="M124" s="542" t="s">
        <v>122</v>
      </c>
      <c r="N124" s="568" t="s">
        <v>694</v>
      </c>
      <c r="O124" s="551">
        <f>O125+O126</f>
        <v>0</v>
      </c>
      <c r="P124" s="552">
        <f>P125+P126</f>
        <v>0</v>
      </c>
      <c r="Q124" s="549">
        <f>Q125+Q126</f>
        <v>0</v>
      </c>
      <c r="R124" s="48"/>
      <c r="S124" s="48"/>
      <c r="T124" s="48"/>
      <c r="U124" s="48"/>
      <c r="V124" s="48"/>
    </row>
    <row r="125" spans="2:22" ht="24" customHeight="1" thickBot="1" x14ac:dyDescent="0.3">
      <c r="B125" s="1204"/>
      <c r="C125" s="1199"/>
      <c r="D125" s="571"/>
      <c r="E125" s="1230"/>
      <c r="F125" s="1201"/>
      <c r="G125" s="1196"/>
      <c r="H125" s="1209"/>
      <c r="I125" s="1204"/>
      <c r="J125" s="1204"/>
      <c r="K125" s="1204"/>
      <c r="L125" s="1204"/>
      <c r="M125" s="636" t="s">
        <v>123</v>
      </c>
      <c r="N125" s="569"/>
      <c r="O125" s="681">
        <v>0</v>
      </c>
      <c r="P125" s="676">
        <v>0</v>
      </c>
      <c r="Q125" s="562">
        <v>0</v>
      </c>
      <c r="R125" s="48"/>
      <c r="S125" s="48"/>
      <c r="T125" s="48"/>
      <c r="U125" s="48"/>
      <c r="V125" s="48"/>
    </row>
    <row r="126" spans="2:22" ht="21.75" customHeight="1" thickBot="1" x14ac:dyDescent="0.3">
      <c r="B126" s="1204"/>
      <c r="C126" s="1199"/>
      <c r="D126" s="571"/>
      <c r="E126" s="1230"/>
      <c r="F126" s="1201"/>
      <c r="G126" s="1196"/>
      <c r="H126" s="1209"/>
      <c r="I126" s="1204"/>
      <c r="J126" s="1204"/>
      <c r="K126" s="1204"/>
      <c r="L126" s="1204"/>
      <c r="M126" s="672" t="s">
        <v>124</v>
      </c>
      <c r="N126" s="569"/>
      <c r="O126" s="681">
        <v>0</v>
      </c>
      <c r="P126" s="676">
        <v>0</v>
      </c>
      <c r="Q126" s="552">
        <v>0</v>
      </c>
      <c r="R126" s="48"/>
      <c r="S126" s="48"/>
      <c r="T126" s="48"/>
      <c r="U126" s="48"/>
      <c r="V126" s="48"/>
    </row>
    <row r="127" spans="2:22" ht="20.25" customHeight="1" thickBot="1" x14ac:dyDescent="0.3">
      <c r="B127" s="1204"/>
      <c r="C127" s="1199"/>
      <c r="D127" s="572"/>
      <c r="E127" s="1230"/>
      <c r="F127" s="1201"/>
      <c r="G127" s="1196"/>
      <c r="H127" s="1209"/>
      <c r="I127" s="1204"/>
      <c r="J127" s="1204"/>
      <c r="K127" s="1204"/>
      <c r="L127" s="1204"/>
      <c r="M127" s="671" t="s">
        <v>745</v>
      </c>
      <c r="N127" s="570"/>
      <c r="O127" s="690">
        <v>2200</v>
      </c>
      <c r="P127" s="562">
        <v>0</v>
      </c>
      <c r="Q127" s="562">
        <v>0</v>
      </c>
      <c r="R127" s="48"/>
      <c r="S127" s="48"/>
      <c r="T127" s="48"/>
      <c r="U127" s="48"/>
      <c r="V127" s="48"/>
    </row>
    <row r="128" spans="2:22" ht="21" customHeight="1" thickBot="1" x14ac:dyDescent="0.3">
      <c r="B128" s="1206" t="s">
        <v>63</v>
      </c>
      <c r="C128" s="1207" t="s">
        <v>295</v>
      </c>
      <c r="D128" s="573" t="s">
        <v>285</v>
      </c>
      <c r="E128" s="1273" t="s">
        <v>503</v>
      </c>
      <c r="F128" s="1200" t="s">
        <v>795</v>
      </c>
      <c r="G128" s="1200" t="s">
        <v>796</v>
      </c>
      <c r="H128" s="1232" t="s">
        <v>240</v>
      </c>
      <c r="I128" s="1206" t="s">
        <v>263</v>
      </c>
      <c r="J128" s="1206" t="s">
        <v>789</v>
      </c>
      <c r="K128" s="1206" t="s">
        <v>199</v>
      </c>
      <c r="L128" s="1206" t="s">
        <v>263</v>
      </c>
      <c r="M128" s="542" t="s">
        <v>122</v>
      </c>
      <c r="N128" s="568" t="s">
        <v>694</v>
      </c>
      <c r="O128" s="551">
        <f>O129+O130</f>
        <v>0</v>
      </c>
      <c r="P128" s="552">
        <f>P129+P130</f>
        <v>0</v>
      </c>
      <c r="Q128" s="549">
        <f>Q129+Q130</f>
        <v>1424.45</v>
      </c>
      <c r="R128" s="48"/>
      <c r="S128" s="48"/>
      <c r="T128" s="48"/>
      <c r="U128" s="48"/>
      <c r="V128" s="48"/>
    </row>
    <row r="129" spans="2:22" ht="22.5" customHeight="1" thickBot="1" x14ac:dyDescent="0.3">
      <c r="B129" s="1204"/>
      <c r="C129" s="1199"/>
      <c r="D129" s="571"/>
      <c r="E129" s="1274"/>
      <c r="F129" s="1201"/>
      <c r="G129" s="1201"/>
      <c r="H129" s="1209"/>
      <c r="I129" s="1204"/>
      <c r="J129" s="1204"/>
      <c r="K129" s="1204"/>
      <c r="L129" s="1204"/>
      <c r="M129" s="636" t="s">
        <v>123</v>
      </c>
      <c r="N129" s="569"/>
      <c r="O129" s="681">
        <v>0</v>
      </c>
      <c r="P129" s="676">
        <v>0</v>
      </c>
      <c r="Q129" s="547" t="s">
        <v>695</v>
      </c>
      <c r="R129" s="48"/>
      <c r="S129" s="48"/>
      <c r="T129" s="48"/>
      <c r="U129" s="48"/>
      <c r="V129" s="48"/>
    </row>
    <row r="130" spans="2:22" ht="22.5" customHeight="1" thickBot="1" x14ac:dyDescent="0.3">
      <c r="B130" s="1204"/>
      <c r="C130" s="1199"/>
      <c r="D130" s="571"/>
      <c r="E130" s="1274"/>
      <c r="F130" s="1201"/>
      <c r="G130" s="1201"/>
      <c r="H130" s="1209"/>
      <c r="I130" s="1204"/>
      <c r="J130" s="1204"/>
      <c r="K130" s="1204"/>
      <c r="L130" s="1204"/>
      <c r="M130" s="672" t="s">
        <v>124</v>
      </c>
      <c r="N130" s="569"/>
      <c r="O130" s="681">
        <v>0</v>
      </c>
      <c r="P130" s="676">
        <v>0</v>
      </c>
      <c r="Q130" s="547" t="s">
        <v>790</v>
      </c>
      <c r="R130" s="48"/>
      <c r="S130" s="48"/>
      <c r="T130" s="48"/>
      <c r="U130" s="48"/>
      <c r="V130" s="48"/>
    </row>
    <row r="131" spans="2:22" ht="21" customHeight="1" thickBot="1" x14ac:dyDescent="0.3">
      <c r="B131" s="1205"/>
      <c r="C131" s="1208"/>
      <c r="D131" s="574"/>
      <c r="E131" s="1309"/>
      <c r="F131" s="1202"/>
      <c r="G131" s="1202"/>
      <c r="H131" s="1210"/>
      <c r="I131" s="1205"/>
      <c r="J131" s="1205"/>
      <c r="K131" s="1205"/>
      <c r="L131" s="1205"/>
      <c r="M131" s="671" t="s">
        <v>745</v>
      </c>
      <c r="N131" s="570"/>
      <c r="O131" s="690">
        <v>0</v>
      </c>
      <c r="P131" s="562">
        <v>0</v>
      </c>
      <c r="Q131" s="671" t="s">
        <v>695</v>
      </c>
      <c r="R131" s="48"/>
      <c r="S131" s="48"/>
      <c r="T131" s="48"/>
      <c r="U131" s="48"/>
      <c r="V131" s="48"/>
    </row>
    <row r="132" spans="2:22" ht="50.25" customHeight="1" thickBot="1" x14ac:dyDescent="0.3">
      <c r="B132" s="1204" t="s">
        <v>64</v>
      </c>
      <c r="C132" s="1243" t="s">
        <v>116</v>
      </c>
      <c r="D132" s="1230" t="s">
        <v>116</v>
      </c>
      <c r="E132" s="1199" t="s">
        <v>116</v>
      </c>
      <c r="F132" s="1230" t="s">
        <v>175</v>
      </c>
      <c r="G132" s="697" t="s">
        <v>381</v>
      </c>
      <c r="H132" s="650" t="s">
        <v>244</v>
      </c>
      <c r="I132" s="575">
        <f>I142+I147+I149+I151+I153+I155+I157+I159+I161+I163+I165+I168+I170+I172+I176</f>
        <v>930397</v>
      </c>
      <c r="J132" s="1204" t="s">
        <v>462</v>
      </c>
      <c r="K132" s="575">
        <f>K142+K147+K149+K151+K153+K155+K157+K159+K161+K163+K165+K168+K170+K172+K176</f>
        <v>930397</v>
      </c>
      <c r="L132" s="575">
        <f>L142+L147+L149+L151+L153+L155+L157+L159+L161+L163+L165+L168+L170+L172+L176</f>
        <v>930397</v>
      </c>
      <c r="M132" s="542" t="s">
        <v>122</v>
      </c>
      <c r="N132" s="1288" t="e">
        <f>N138+N184+N308</f>
        <v>#REF!</v>
      </c>
      <c r="O132" s="643">
        <f>O138+O184+O308</f>
        <v>292142.25400000002</v>
      </c>
      <c r="P132" s="643">
        <f>P138+P184+P308</f>
        <v>152836.42200999998</v>
      </c>
      <c r="Q132" s="648">
        <f>Q138+Q184+Q308</f>
        <v>166731.97200000001</v>
      </c>
      <c r="R132" s="48"/>
      <c r="S132" s="48"/>
      <c r="T132" s="48"/>
      <c r="U132" s="48"/>
      <c r="V132" s="48"/>
    </row>
    <row r="133" spans="2:22" ht="35.25" customHeight="1" thickBot="1" x14ac:dyDescent="0.3">
      <c r="B133" s="1204"/>
      <c r="C133" s="1243"/>
      <c r="D133" s="1230"/>
      <c r="E133" s="1199"/>
      <c r="F133" s="1230"/>
      <c r="G133" s="576" t="s">
        <v>187</v>
      </c>
      <c r="H133" s="577" t="s">
        <v>241</v>
      </c>
      <c r="I133" s="647">
        <f>I167</f>
        <v>3</v>
      </c>
      <c r="J133" s="1204"/>
      <c r="K133" s="647">
        <f>K167</f>
        <v>0</v>
      </c>
      <c r="L133" s="647">
        <f>L167</f>
        <v>0</v>
      </c>
      <c r="M133" s="636" t="s">
        <v>123</v>
      </c>
      <c r="N133" s="1289"/>
      <c r="O133" s="643">
        <f t="shared" ref="O133:Q135" si="4">O139+O185+O309</f>
        <v>45733</v>
      </c>
      <c r="P133" s="643">
        <f t="shared" si="4"/>
        <v>0</v>
      </c>
      <c r="Q133" s="648">
        <f t="shared" si="4"/>
        <v>0</v>
      </c>
      <c r="R133" s="48"/>
      <c r="S133" s="48"/>
      <c r="T133" s="48"/>
      <c r="U133" s="48"/>
      <c r="V133" s="48"/>
    </row>
    <row r="134" spans="2:22" ht="33" customHeight="1" thickBot="1" x14ac:dyDescent="0.3">
      <c r="B134" s="1204"/>
      <c r="C134" s="1243"/>
      <c r="D134" s="1230"/>
      <c r="E134" s="1199"/>
      <c r="F134" s="1230"/>
      <c r="G134" s="576" t="s">
        <v>232</v>
      </c>
      <c r="H134" s="577" t="s">
        <v>240</v>
      </c>
      <c r="I134" s="575">
        <f>I144+I174</f>
        <v>34</v>
      </c>
      <c r="J134" s="1204"/>
      <c r="K134" s="575">
        <f>K144+K174</f>
        <v>34</v>
      </c>
      <c r="L134" s="575">
        <f>L144+L174</f>
        <v>34</v>
      </c>
      <c r="M134" s="672" t="s">
        <v>124</v>
      </c>
      <c r="N134" s="1289"/>
      <c r="O134" s="643">
        <f t="shared" si="4"/>
        <v>246409.25400000002</v>
      </c>
      <c r="P134" s="643">
        <f t="shared" si="4"/>
        <v>152386.42200999998</v>
      </c>
      <c r="Q134" s="648">
        <f t="shared" si="4"/>
        <v>166731.97200000001</v>
      </c>
      <c r="R134" s="48"/>
      <c r="S134" s="48"/>
      <c r="T134" s="48"/>
      <c r="U134" s="48"/>
      <c r="V134" s="48"/>
    </row>
    <row r="135" spans="2:22" ht="27.75" customHeight="1" x14ac:dyDescent="0.25">
      <c r="B135" s="1204"/>
      <c r="C135" s="1243"/>
      <c r="D135" s="1230"/>
      <c r="E135" s="1199"/>
      <c r="F135" s="1230"/>
      <c r="G135" s="576" t="s">
        <v>233</v>
      </c>
      <c r="H135" s="577" t="s">
        <v>241</v>
      </c>
      <c r="I135" s="575">
        <v>2720</v>
      </c>
      <c r="J135" s="1204"/>
      <c r="K135" s="575">
        <v>2720</v>
      </c>
      <c r="L135" s="575">
        <v>2720</v>
      </c>
      <c r="M135" s="671" t="s">
        <v>745</v>
      </c>
      <c r="N135" s="1289"/>
      <c r="O135" s="643">
        <f t="shared" si="4"/>
        <v>93341.047730000006</v>
      </c>
      <c r="P135" s="643">
        <f t="shared" si="4"/>
        <v>0</v>
      </c>
      <c r="Q135" s="648">
        <f t="shared" si="4"/>
        <v>0</v>
      </c>
      <c r="R135" s="48"/>
      <c r="S135" s="48"/>
      <c r="T135" s="48"/>
      <c r="U135" s="48"/>
      <c r="V135" s="48"/>
    </row>
    <row r="136" spans="2:22" ht="39.75" customHeight="1" x14ac:dyDescent="0.25">
      <c r="B136" s="1204"/>
      <c r="C136" s="1243"/>
      <c r="D136" s="1230"/>
      <c r="E136" s="1199"/>
      <c r="F136" s="1230"/>
      <c r="G136" s="576" t="s">
        <v>254</v>
      </c>
      <c r="H136" s="577" t="s">
        <v>240</v>
      </c>
      <c r="I136" s="575" t="s">
        <v>759</v>
      </c>
      <c r="J136" s="1204"/>
      <c r="K136" s="575" t="s">
        <v>759</v>
      </c>
      <c r="L136" s="575" t="s">
        <v>759</v>
      </c>
      <c r="M136" s="1310"/>
      <c r="N136" s="1289"/>
      <c r="O136" s="1211"/>
      <c r="P136" s="1211"/>
      <c r="Q136" s="1213"/>
      <c r="R136" s="48"/>
      <c r="S136" s="48"/>
      <c r="T136" s="48"/>
      <c r="U136" s="48"/>
      <c r="V136" s="48"/>
    </row>
    <row r="137" spans="2:22" ht="63" customHeight="1" thickBot="1" x14ac:dyDescent="0.3">
      <c r="B137" s="1204"/>
      <c r="C137" s="1243"/>
      <c r="D137" s="1230"/>
      <c r="E137" s="1199"/>
      <c r="F137" s="1230"/>
      <c r="G137" s="695" t="s">
        <v>527</v>
      </c>
      <c r="H137" s="649" t="s">
        <v>240</v>
      </c>
      <c r="I137" s="579">
        <v>6</v>
      </c>
      <c r="J137" s="1204"/>
      <c r="K137" s="579">
        <v>0</v>
      </c>
      <c r="L137" s="579">
        <v>0</v>
      </c>
      <c r="M137" s="1311"/>
      <c r="N137" s="1290"/>
      <c r="O137" s="1212"/>
      <c r="P137" s="1212"/>
      <c r="Q137" s="1214"/>
      <c r="R137" s="48"/>
      <c r="S137" s="48"/>
      <c r="T137" s="48"/>
      <c r="U137" s="48"/>
      <c r="V137" s="48"/>
    </row>
    <row r="138" spans="2:22" ht="27.75" customHeight="1" thickBot="1" x14ac:dyDescent="0.3">
      <c r="B138" s="1206" t="s">
        <v>64</v>
      </c>
      <c r="C138" s="1308" t="s">
        <v>557</v>
      </c>
      <c r="D138" s="704" t="s">
        <v>116</v>
      </c>
      <c r="E138" s="1232" t="s">
        <v>116</v>
      </c>
      <c r="F138" s="1200" t="s">
        <v>587</v>
      </c>
      <c r="G138" s="1207" t="s">
        <v>116</v>
      </c>
      <c r="H138" s="1232" t="s">
        <v>116</v>
      </c>
      <c r="I138" s="1206" t="s">
        <v>116</v>
      </c>
      <c r="J138" s="1206" t="s">
        <v>462</v>
      </c>
      <c r="K138" s="1232" t="s">
        <v>116</v>
      </c>
      <c r="L138" s="1206" t="s">
        <v>116</v>
      </c>
      <c r="M138" s="542" t="s">
        <v>122</v>
      </c>
      <c r="N138" s="563" t="e">
        <f>N142+N147+N151+N155+N159+N163+N168+#REF!+N176+N180</f>
        <v>#REF!</v>
      </c>
      <c r="O138" s="681">
        <f t="shared" ref="O138:Q141" si="5">O142+O147+O151+O155+O159+O163+O168+O172+O176+O180</f>
        <v>115202.95600000001</v>
      </c>
      <c r="P138" s="552">
        <f t="shared" si="5"/>
        <v>118026.01200999999</v>
      </c>
      <c r="Q138" s="552">
        <f t="shared" si="5"/>
        <v>121156.56200000002</v>
      </c>
      <c r="R138" s="48"/>
      <c r="S138" s="48"/>
      <c r="T138" s="48"/>
      <c r="U138" s="48"/>
      <c r="V138" s="48"/>
    </row>
    <row r="139" spans="2:22" ht="21.75" customHeight="1" thickBot="1" x14ac:dyDescent="0.3">
      <c r="B139" s="1204"/>
      <c r="C139" s="1259"/>
      <c r="D139" s="694"/>
      <c r="E139" s="1209"/>
      <c r="F139" s="1201"/>
      <c r="G139" s="1199"/>
      <c r="H139" s="1209"/>
      <c r="I139" s="1204"/>
      <c r="J139" s="1204"/>
      <c r="K139" s="1209"/>
      <c r="L139" s="1204"/>
      <c r="M139" s="636" t="s">
        <v>123</v>
      </c>
      <c r="N139" s="550"/>
      <c r="O139" s="681">
        <f t="shared" si="5"/>
        <v>0</v>
      </c>
      <c r="P139" s="676">
        <f t="shared" si="5"/>
        <v>0</v>
      </c>
      <c r="Q139" s="676">
        <f t="shared" si="5"/>
        <v>0</v>
      </c>
      <c r="R139" s="48"/>
      <c r="S139" s="48"/>
      <c r="T139" s="48"/>
      <c r="U139" s="48"/>
      <c r="V139" s="48"/>
    </row>
    <row r="140" spans="2:22" ht="24" customHeight="1" thickBot="1" x14ac:dyDescent="0.3">
      <c r="B140" s="1204"/>
      <c r="C140" s="1259"/>
      <c r="D140" s="694"/>
      <c r="E140" s="1209"/>
      <c r="F140" s="1201"/>
      <c r="G140" s="1199"/>
      <c r="H140" s="1209"/>
      <c r="I140" s="1204"/>
      <c r="J140" s="1204"/>
      <c r="K140" s="1209"/>
      <c r="L140" s="1204"/>
      <c r="M140" s="672" t="s">
        <v>124</v>
      </c>
      <c r="N140" s="550"/>
      <c r="O140" s="681">
        <f t="shared" si="5"/>
        <v>115202.95600000001</v>
      </c>
      <c r="P140" s="676">
        <f t="shared" si="5"/>
        <v>118026.01200999999</v>
      </c>
      <c r="Q140" s="676">
        <f t="shared" si="5"/>
        <v>121156.56200000002</v>
      </c>
      <c r="R140" s="48"/>
      <c r="S140" s="48"/>
      <c r="T140" s="48"/>
      <c r="U140" s="48"/>
      <c r="V140" s="48"/>
    </row>
    <row r="141" spans="2:22" ht="23.25" customHeight="1" thickBot="1" x14ac:dyDescent="0.3">
      <c r="B141" s="1204"/>
      <c r="C141" s="1259"/>
      <c r="D141" s="694"/>
      <c r="E141" s="1209"/>
      <c r="F141" s="1201"/>
      <c r="G141" s="1199"/>
      <c r="H141" s="1209"/>
      <c r="I141" s="1204"/>
      <c r="J141" s="1204"/>
      <c r="K141" s="1209"/>
      <c r="L141" s="1204"/>
      <c r="M141" s="671" t="s">
        <v>745</v>
      </c>
      <c r="N141" s="550"/>
      <c r="O141" s="681">
        <f t="shared" si="5"/>
        <v>0</v>
      </c>
      <c r="P141" s="676">
        <f t="shared" si="5"/>
        <v>0</v>
      </c>
      <c r="Q141" s="676">
        <f t="shared" si="5"/>
        <v>0</v>
      </c>
      <c r="R141" s="48"/>
      <c r="S141" s="48"/>
      <c r="T141" s="48"/>
      <c r="U141" s="48"/>
      <c r="V141" s="48"/>
    </row>
    <row r="142" spans="2:22" ht="51.75" customHeight="1" thickBot="1" x14ac:dyDescent="0.3">
      <c r="B142" s="1206" t="s">
        <v>64</v>
      </c>
      <c r="C142" s="1207" t="s">
        <v>557</v>
      </c>
      <c r="D142" s="1207" t="s">
        <v>379</v>
      </c>
      <c r="E142" s="1207" t="s">
        <v>200</v>
      </c>
      <c r="F142" s="580" t="s">
        <v>699</v>
      </c>
      <c r="G142" s="581" t="s">
        <v>701</v>
      </c>
      <c r="H142" s="654" t="s">
        <v>244</v>
      </c>
      <c r="I142" s="701">
        <v>43875</v>
      </c>
      <c r="J142" s="1206" t="s">
        <v>462</v>
      </c>
      <c r="K142" s="701" t="s">
        <v>797</v>
      </c>
      <c r="L142" s="582" t="s">
        <v>797</v>
      </c>
      <c r="M142" s="542" t="s">
        <v>122</v>
      </c>
      <c r="N142" s="1248">
        <v>30196.73402</v>
      </c>
      <c r="O142" s="551">
        <f>O143+O144</f>
        <v>31323.719239999999</v>
      </c>
      <c r="P142" s="551">
        <f>P143+P144</f>
        <v>32518.295470000001</v>
      </c>
      <c r="Q142" s="552">
        <f>Q143+Q144</f>
        <v>33768.667540000002</v>
      </c>
      <c r="R142" s="48"/>
      <c r="S142" s="48"/>
      <c r="T142" s="48"/>
      <c r="U142" s="48"/>
      <c r="V142" s="48"/>
    </row>
    <row r="143" spans="2:22" ht="39" customHeight="1" thickBot="1" x14ac:dyDescent="0.3">
      <c r="B143" s="1204"/>
      <c r="C143" s="1199"/>
      <c r="D143" s="1199"/>
      <c r="E143" s="1199"/>
      <c r="F143" s="583" t="s">
        <v>799</v>
      </c>
      <c r="G143" s="576" t="s">
        <v>800</v>
      </c>
      <c r="H143" s="555" t="s">
        <v>240</v>
      </c>
      <c r="I143" s="702" t="s">
        <v>374</v>
      </c>
      <c r="J143" s="1204"/>
      <c r="K143" s="578" t="s">
        <v>374</v>
      </c>
      <c r="L143" s="584" t="s">
        <v>374</v>
      </c>
      <c r="M143" s="636" t="s">
        <v>123</v>
      </c>
      <c r="N143" s="1249"/>
      <c r="O143" s="561">
        <v>0</v>
      </c>
      <c r="P143" s="562">
        <v>0</v>
      </c>
      <c r="Q143" s="550">
        <v>0</v>
      </c>
      <c r="R143" s="48" t="s">
        <v>867</v>
      </c>
      <c r="S143" s="48"/>
      <c r="T143" s="48"/>
      <c r="U143" s="48"/>
      <c r="V143" s="48"/>
    </row>
    <row r="144" spans="2:22" ht="65.25" customHeight="1" thickBot="1" x14ac:dyDescent="0.3">
      <c r="B144" s="1204"/>
      <c r="C144" s="1199"/>
      <c r="D144" s="1199"/>
      <c r="E144" s="1199"/>
      <c r="F144" s="583" t="s">
        <v>801</v>
      </c>
      <c r="G144" s="576" t="s">
        <v>234</v>
      </c>
      <c r="H144" s="555" t="s">
        <v>393</v>
      </c>
      <c r="I144" s="702" t="s">
        <v>798</v>
      </c>
      <c r="J144" s="1204"/>
      <c r="K144" s="578" t="s">
        <v>798</v>
      </c>
      <c r="L144" s="584" t="s">
        <v>798</v>
      </c>
      <c r="M144" s="672" t="s">
        <v>124</v>
      </c>
      <c r="N144" s="1249"/>
      <c r="O144" s="551">
        <v>31323.719239999999</v>
      </c>
      <c r="P144" s="552">
        <v>32518.295470000001</v>
      </c>
      <c r="Q144" s="549">
        <v>33768.667540000002</v>
      </c>
      <c r="R144" s="48"/>
      <c r="S144" s="48"/>
      <c r="T144" s="48"/>
      <c r="U144" s="48"/>
      <c r="V144" s="48"/>
    </row>
    <row r="145" spans="2:22" ht="216.75" customHeight="1" thickBot="1" x14ac:dyDescent="0.3">
      <c r="B145" s="1204"/>
      <c r="C145" s="1199"/>
      <c r="D145" s="1199"/>
      <c r="E145" s="1199"/>
      <c r="F145" s="583" t="s">
        <v>709</v>
      </c>
      <c r="G145" s="576" t="s">
        <v>234</v>
      </c>
      <c r="H145" s="555" t="s">
        <v>393</v>
      </c>
      <c r="I145" s="702" t="s">
        <v>553</v>
      </c>
      <c r="J145" s="1204"/>
      <c r="K145" s="585" t="s">
        <v>553</v>
      </c>
      <c r="L145" s="582" t="s">
        <v>553</v>
      </c>
      <c r="M145" s="547" t="s">
        <v>745</v>
      </c>
      <c r="N145" s="1249"/>
      <c r="O145" s="552">
        <v>0</v>
      </c>
      <c r="P145" s="676">
        <v>0</v>
      </c>
      <c r="Q145" s="552">
        <v>0</v>
      </c>
      <c r="R145" s="48"/>
      <c r="S145" s="48"/>
      <c r="T145" s="48"/>
      <c r="U145" s="48"/>
      <c r="V145" s="48"/>
    </row>
    <row r="146" spans="2:22" ht="75.75" customHeight="1" thickBot="1" x14ac:dyDescent="0.3">
      <c r="B146" s="1204"/>
      <c r="C146" s="1199"/>
      <c r="D146" s="1199"/>
      <c r="E146" s="1199"/>
      <c r="F146" s="583" t="s">
        <v>710</v>
      </c>
      <c r="G146" s="576" t="s">
        <v>234</v>
      </c>
      <c r="H146" s="555" t="s">
        <v>393</v>
      </c>
      <c r="I146" s="702" t="s">
        <v>270</v>
      </c>
      <c r="J146" s="1204"/>
      <c r="K146" s="578" t="s">
        <v>270</v>
      </c>
      <c r="L146" s="586" t="s">
        <v>270</v>
      </c>
      <c r="M146" s="687"/>
      <c r="N146" s="1249"/>
      <c r="O146" s="587"/>
      <c r="P146" s="588"/>
      <c r="Q146" s="589"/>
      <c r="R146" s="48"/>
      <c r="S146" s="48"/>
      <c r="T146" s="48"/>
      <c r="U146" s="48"/>
      <c r="V146" s="48"/>
    </row>
    <row r="147" spans="2:22" ht="33" customHeight="1" thickBot="1" x14ac:dyDescent="0.3">
      <c r="B147" s="1206" t="s">
        <v>64</v>
      </c>
      <c r="C147" s="1215" t="s">
        <v>557</v>
      </c>
      <c r="D147" s="1229">
        <v>27301848</v>
      </c>
      <c r="E147" s="1207" t="s">
        <v>380</v>
      </c>
      <c r="F147" s="1200" t="s">
        <v>700</v>
      </c>
      <c r="G147" s="1268" t="s">
        <v>702</v>
      </c>
      <c r="H147" s="1207" t="s">
        <v>244</v>
      </c>
      <c r="I147" s="1207">
        <f>66088+46376</f>
        <v>112464</v>
      </c>
      <c r="J147" s="1206" t="s">
        <v>462</v>
      </c>
      <c r="K147" s="1207">
        <f>66088+46376</f>
        <v>112464</v>
      </c>
      <c r="L147" s="1207">
        <f>66088+46376</f>
        <v>112464</v>
      </c>
      <c r="M147" s="542" t="s">
        <v>122</v>
      </c>
      <c r="N147" s="1248">
        <v>16658.537670000002</v>
      </c>
      <c r="O147" s="551">
        <f>O148+O149</f>
        <v>18019.998540000001</v>
      </c>
      <c r="P147" s="551">
        <f>P148+P149</f>
        <v>18338.233830000001</v>
      </c>
      <c r="Q147" s="552">
        <f>Q148+Q149</f>
        <v>18672.116580000002</v>
      </c>
      <c r="R147" s="48"/>
      <c r="S147" s="48"/>
      <c r="T147" s="48"/>
      <c r="U147" s="48"/>
      <c r="V147" s="48"/>
    </row>
    <row r="148" spans="2:22" ht="56.25" customHeight="1" thickBot="1" x14ac:dyDescent="0.3">
      <c r="B148" s="1204"/>
      <c r="C148" s="1192"/>
      <c r="D148" s="1230"/>
      <c r="E148" s="1199"/>
      <c r="F148" s="1202"/>
      <c r="G148" s="1256"/>
      <c r="H148" s="1208"/>
      <c r="I148" s="1208"/>
      <c r="J148" s="1204"/>
      <c r="K148" s="1208"/>
      <c r="L148" s="1208"/>
      <c r="M148" s="636" t="s">
        <v>123</v>
      </c>
      <c r="N148" s="1249"/>
      <c r="O148" s="551">
        <v>0</v>
      </c>
      <c r="P148" s="552">
        <v>0</v>
      </c>
      <c r="Q148" s="549">
        <v>0</v>
      </c>
      <c r="R148" s="48"/>
      <c r="S148" s="48"/>
      <c r="T148" s="48"/>
      <c r="U148" s="48"/>
      <c r="V148" s="48"/>
    </row>
    <row r="149" spans="2:22" ht="28.5" customHeight="1" thickBot="1" x14ac:dyDescent="0.3">
      <c r="B149" s="1204"/>
      <c r="C149" s="1192"/>
      <c r="D149" s="1245"/>
      <c r="E149" s="1199"/>
      <c r="F149" s="1201" t="s">
        <v>699</v>
      </c>
      <c r="G149" s="1267" t="s">
        <v>701</v>
      </c>
      <c r="H149" s="1199" t="s">
        <v>244</v>
      </c>
      <c r="I149" s="1204" t="s">
        <v>804</v>
      </c>
      <c r="J149" s="1204"/>
      <c r="K149" s="1204" t="s">
        <v>804</v>
      </c>
      <c r="L149" s="1204" t="s">
        <v>804</v>
      </c>
      <c r="M149" s="672" t="s">
        <v>124</v>
      </c>
      <c r="N149" s="1250"/>
      <c r="O149" s="557">
        <v>18019.998540000001</v>
      </c>
      <c r="P149" s="676">
        <v>18338.233830000001</v>
      </c>
      <c r="Q149" s="563">
        <v>18672.116580000002</v>
      </c>
      <c r="R149" s="48"/>
      <c r="S149" s="48"/>
      <c r="T149" s="48"/>
      <c r="U149" s="48"/>
      <c r="V149" s="48"/>
    </row>
    <row r="150" spans="2:22" ht="35.25" customHeight="1" thickBot="1" x14ac:dyDescent="0.3">
      <c r="B150" s="1205"/>
      <c r="C150" s="1216"/>
      <c r="D150" s="674"/>
      <c r="E150" s="1208"/>
      <c r="F150" s="1202"/>
      <c r="G150" s="1256"/>
      <c r="H150" s="1208"/>
      <c r="I150" s="1205"/>
      <c r="J150" s="1205"/>
      <c r="K150" s="1205"/>
      <c r="L150" s="1205"/>
      <c r="M150" s="547" t="s">
        <v>745</v>
      </c>
      <c r="N150" s="563"/>
      <c r="O150" s="557">
        <v>0</v>
      </c>
      <c r="P150" s="676">
        <v>0</v>
      </c>
      <c r="Q150" s="563">
        <v>0</v>
      </c>
      <c r="R150" s="48"/>
      <c r="S150" s="48"/>
      <c r="T150" s="48"/>
      <c r="U150" s="48"/>
      <c r="V150" s="48"/>
    </row>
    <row r="151" spans="2:22" ht="33.75" customHeight="1" thickBot="1" x14ac:dyDescent="0.3">
      <c r="B151" s="1206" t="s">
        <v>64</v>
      </c>
      <c r="C151" s="1207" t="s">
        <v>557</v>
      </c>
      <c r="D151" s="1199" t="s">
        <v>382</v>
      </c>
      <c r="E151" s="1207" t="s">
        <v>383</v>
      </c>
      <c r="F151" s="1200" t="s">
        <v>700</v>
      </c>
      <c r="G151" s="1200" t="s">
        <v>702</v>
      </c>
      <c r="H151" s="1207" t="s">
        <v>244</v>
      </c>
      <c r="I151" s="1207">
        <f>25864+29136</f>
        <v>55000</v>
      </c>
      <c r="J151" s="1207" t="s">
        <v>462</v>
      </c>
      <c r="K151" s="1207">
        <f>25864+29136</f>
        <v>55000</v>
      </c>
      <c r="L151" s="1207">
        <f>25864+29136</f>
        <v>55000</v>
      </c>
      <c r="M151" s="542" t="s">
        <v>122</v>
      </c>
      <c r="N151" s="1248">
        <v>16658.537670000002</v>
      </c>
      <c r="O151" s="551">
        <f>O152+O153</f>
        <v>5915.9905799999997</v>
      </c>
      <c r="P151" s="551">
        <f>P152+P153</f>
        <v>6069.4196300000003</v>
      </c>
      <c r="Q151" s="552">
        <f>Q152+Q153</f>
        <v>6230.9921999999997</v>
      </c>
      <c r="R151" s="48"/>
      <c r="S151" s="48"/>
      <c r="T151" s="48"/>
      <c r="U151" s="48"/>
      <c r="V151" s="48"/>
    </row>
    <row r="152" spans="2:22" ht="46.5" customHeight="1" thickBot="1" x14ac:dyDescent="0.3">
      <c r="B152" s="1204"/>
      <c r="C152" s="1199"/>
      <c r="D152" s="1199"/>
      <c r="E152" s="1199"/>
      <c r="F152" s="1235"/>
      <c r="G152" s="1235"/>
      <c r="H152" s="1237"/>
      <c r="I152" s="1237"/>
      <c r="J152" s="1199"/>
      <c r="K152" s="1237"/>
      <c r="L152" s="1237"/>
      <c r="M152" s="636" t="s">
        <v>123</v>
      </c>
      <c r="N152" s="1249"/>
      <c r="O152" s="551">
        <v>0</v>
      </c>
      <c r="P152" s="552">
        <v>0</v>
      </c>
      <c r="Q152" s="549">
        <v>0</v>
      </c>
      <c r="R152" s="48"/>
      <c r="S152" s="48"/>
      <c r="T152" s="48"/>
      <c r="U152" s="48"/>
      <c r="V152" s="48"/>
    </row>
    <row r="153" spans="2:22" ht="27.75" customHeight="1" thickBot="1" x14ac:dyDescent="0.3">
      <c r="B153" s="1204"/>
      <c r="C153" s="1199"/>
      <c r="D153" s="1199"/>
      <c r="E153" s="1199"/>
      <c r="F153" s="1234" t="s">
        <v>699</v>
      </c>
      <c r="G153" s="1234" t="s">
        <v>701</v>
      </c>
      <c r="H153" s="1236" t="s">
        <v>244</v>
      </c>
      <c r="I153" s="1236">
        <v>18304</v>
      </c>
      <c r="J153" s="1199"/>
      <c r="K153" s="1236">
        <v>18304</v>
      </c>
      <c r="L153" s="1236">
        <v>18304</v>
      </c>
      <c r="M153" s="672" t="s">
        <v>124</v>
      </c>
      <c r="N153" s="1250"/>
      <c r="O153" s="557">
        <v>5915.9905799999997</v>
      </c>
      <c r="P153" s="676">
        <v>6069.4196300000003</v>
      </c>
      <c r="Q153" s="563">
        <v>6230.9921999999997</v>
      </c>
      <c r="R153" s="48"/>
      <c r="S153" s="48"/>
      <c r="T153" s="48"/>
      <c r="U153" s="48"/>
      <c r="V153" s="48"/>
    </row>
    <row r="154" spans="2:22" ht="34.5" customHeight="1" thickBot="1" x14ac:dyDescent="0.3">
      <c r="B154" s="1205"/>
      <c r="C154" s="1208"/>
      <c r="D154" s="672"/>
      <c r="E154" s="1208"/>
      <c r="F154" s="1201"/>
      <c r="G154" s="1201"/>
      <c r="H154" s="1199"/>
      <c r="I154" s="1199"/>
      <c r="J154" s="1199"/>
      <c r="K154" s="1199"/>
      <c r="L154" s="1199"/>
      <c r="M154" s="671" t="s">
        <v>745</v>
      </c>
      <c r="N154" s="550"/>
      <c r="O154" s="561">
        <v>0</v>
      </c>
      <c r="P154" s="562">
        <v>0</v>
      </c>
      <c r="Q154" s="550">
        <v>0</v>
      </c>
      <c r="R154" s="48"/>
      <c r="S154" s="48"/>
      <c r="T154" s="48"/>
      <c r="U154" s="48"/>
      <c r="V154" s="48"/>
    </row>
    <row r="155" spans="2:22" ht="35.25" customHeight="1" thickBot="1" x14ac:dyDescent="0.3">
      <c r="B155" s="1206" t="s">
        <v>64</v>
      </c>
      <c r="C155" s="1207" t="s">
        <v>557</v>
      </c>
      <c r="D155" s="1207">
        <v>27301837</v>
      </c>
      <c r="E155" s="1207" t="s">
        <v>628</v>
      </c>
      <c r="F155" s="1268" t="s">
        <v>700</v>
      </c>
      <c r="G155" s="1268" t="s">
        <v>702</v>
      </c>
      <c r="H155" s="1207" t="s">
        <v>244</v>
      </c>
      <c r="I155" s="1207">
        <f>5520+26496+38916</f>
        <v>70932</v>
      </c>
      <c r="J155" s="1207" t="s">
        <v>462</v>
      </c>
      <c r="K155" s="1207">
        <f>5520+26496+38916</f>
        <v>70932</v>
      </c>
      <c r="L155" s="1207">
        <f>5520+26496+38916</f>
        <v>70932</v>
      </c>
      <c r="M155" s="542" t="s">
        <v>122</v>
      </c>
      <c r="N155" s="1248">
        <v>6704.5638200000003</v>
      </c>
      <c r="O155" s="551">
        <f>O156+O157+O158</f>
        <v>7012.7032399999998</v>
      </c>
      <c r="P155" s="551">
        <f>P156+P157+P158</f>
        <v>7192.6254799999997</v>
      </c>
      <c r="Q155" s="552">
        <f>Q156+Q157+Q158</f>
        <v>7381.5286900000001</v>
      </c>
      <c r="R155" s="48"/>
      <c r="S155" s="48"/>
      <c r="T155" s="48"/>
      <c r="U155" s="48"/>
      <c r="V155" s="48"/>
    </row>
    <row r="156" spans="2:22" ht="39.75" customHeight="1" thickBot="1" x14ac:dyDescent="0.3">
      <c r="B156" s="1204"/>
      <c r="C156" s="1199"/>
      <c r="D156" s="1199"/>
      <c r="E156" s="1199"/>
      <c r="F156" s="1307"/>
      <c r="G156" s="1307"/>
      <c r="H156" s="1237"/>
      <c r="I156" s="1237"/>
      <c r="J156" s="1199"/>
      <c r="K156" s="1237"/>
      <c r="L156" s="1237"/>
      <c r="M156" s="636" t="s">
        <v>123</v>
      </c>
      <c r="N156" s="1249"/>
      <c r="O156" s="561">
        <v>0</v>
      </c>
      <c r="P156" s="562">
        <v>0</v>
      </c>
      <c r="Q156" s="550">
        <v>0</v>
      </c>
      <c r="R156" s="48"/>
      <c r="S156" s="48"/>
      <c r="T156" s="48"/>
      <c r="U156" s="48"/>
      <c r="V156" s="48"/>
    </row>
    <row r="157" spans="2:22" ht="30.75" customHeight="1" thickBot="1" x14ac:dyDescent="0.3">
      <c r="B157" s="1204"/>
      <c r="C157" s="1199"/>
      <c r="D157" s="1237"/>
      <c r="E157" s="1199"/>
      <c r="F157" s="1255" t="s">
        <v>699</v>
      </c>
      <c r="G157" s="1255" t="s">
        <v>701</v>
      </c>
      <c r="H157" s="1236" t="s">
        <v>244</v>
      </c>
      <c r="I157" s="1236">
        <v>7176</v>
      </c>
      <c r="J157" s="1199"/>
      <c r="K157" s="1236">
        <v>7176</v>
      </c>
      <c r="L157" s="1236">
        <v>7176</v>
      </c>
      <c r="M157" s="672" t="s">
        <v>124</v>
      </c>
      <c r="N157" s="1250"/>
      <c r="O157" s="551">
        <v>7012.7032399999998</v>
      </c>
      <c r="P157" s="552">
        <v>7192.6254799999997</v>
      </c>
      <c r="Q157" s="549">
        <v>7381.5286900000001</v>
      </c>
      <c r="R157" s="48"/>
      <c r="S157" s="48"/>
      <c r="T157" s="48"/>
      <c r="U157" s="48"/>
      <c r="V157" s="48"/>
    </row>
    <row r="158" spans="2:22" ht="21.75" customHeight="1" thickBot="1" x14ac:dyDescent="0.3">
      <c r="B158" s="1205"/>
      <c r="C158" s="1208"/>
      <c r="D158" s="692"/>
      <c r="E158" s="1208"/>
      <c r="F158" s="1256"/>
      <c r="G158" s="1256"/>
      <c r="H158" s="1208"/>
      <c r="I158" s="1208"/>
      <c r="J158" s="1208"/>
      <c r="K158" s="1208"/>
      <c r="L158" s="1208"/>
      <c r="M158" s="547" t="s">
        <v>745</v>
      </c>
      <c r="N158" s="681"/>
      <c r="O158" s="557">
        <v>0</v>
      </c>
      <c r="P158" s="676">
        <v>0</v>
      </c>
      <c r="Q158" s="563">
        <v>0</v>
      </c>
      <c r="R158" s="48"/>
      <c r="S158" s="48"/>
      <c r="T158" s="48"/>
      <c r="U158" s="48"/>
      <c r="V158" s="48"/>
    </row>
    <row r="159" spans="2:22" ht="36.75" customHeight="1" thickBot="1" x14ac:dyDescent="0.3">
      <c r="B159" s="1206" t="s">
        <v>64</v>
      </c>
      <c r="C159" s="1207" t="s">
        <v>557</v>
      </c>
      <c r="D159" s="1207">
        <v>27302170</v>
      </c>
      <c r="E159" s="1207" t="s">
        <v>201</v>
      </c>
      <c r="F159" s="1200" t="s">
        <v>700</v>
      </c>
      <c r="G159" s="1268" t="s">
        <v>702</v>
      </c>
      <c r="H159" s="1207" t="s">
        <v>244</v>
      </c>
      <c r="I159" s="1207">
        <f>50248+10208</f>
        <v>60456</v>
      </c>
      <c r="J159" s="1207" t="s">
        <v>462</v>
      </c>
      <c r="K159" s="1207">
        <f>50248+10208</f>
        <v>60456</v>
      </c>
      <c r="L159" s="1207">
        <f>50248+10208</f>
        <v>60456</v>
      </c>
      <c r="M159" s="542" t="s">
        <v>122</v>
      </c>
      <c r="N159" s="1248">
        <v>6704.5638200000003</v>
      </c>
      <c r="O159" s="551">
        <f>O160+O161+O162</f>
        <v>12447.110500000001</v>
      </c>
      <c r="P159" s="551">
        <f>P160+P161+P162</f>
        <v>12746.86606</v>
      </c>
      <c r="Q159" s="552">
        <f>Q160+Q161+Q162</f>
        <v>13061.418739999999</v>
      </c>
      <c r="R159" s="48"/>
      <c r="S159" s="48"/>
      <c r="T159" s="48"/>
      <c r="U159" s="48"/>
      <c r="V159" s="48"/>
    </row>
    <row r="160" spans="2:22" ht="38.25" customHeight="1" thickBot="1" x14ac:dyDescent="0.3">
      <c r="B160" s="1204"/>
      <c r="C160" s="1199"/>
      <c r="D160" s="1199"/>
      <c r="E160" s="1199"/>
      <c r="F160" s="1235"/>
      <c r="G160" s="1307"/>
      <c r="H160" s="1237"/>
      <c r="I160" s="1237"/>
      <c r="J160" s="1199"/>
      <c r="K160" s="1237"/>
      <c r="L160" s="1237"/>
      <c r="M160" s="636" t="s">
        <v>123</v>
      </c>
      <c r="N160" s="1249"/>
      <c r="O160" s="561">
        <v>0</v>
      </c>
      <c r="P160" s="562">
        <v>0</v>
      </c>
      <c r="Q160" s="550">
        <v>0</v>
      </c>
      <c r="R160" s="48"/>
      <c r="S160" s="48"/>
      <c r="T160" s="48"/>
      <c r="U160" s="48"/>
      <c r="V160" s="48"/>
    </row>
    <row r="161" spans="2:22" ht="33" customHeight="1" thickBot="1" x14ac:dyDescent="0.3">
      <c r="B161" s="1204"/>
      <c r="C161" s="1199"/>
      <c r="D161" s="1237"/>
      <c r="E161" s="1199"/>
      <c r="F161" s="1234" t="s">
        <v>699</v>
      </c>
      <c r="G161" s="1255" t="s">
        <v>701</v>
      </c>
      <c r="H161" s="1236" t="s">
        <v>244</v>
      </c>
      <c r="I161" s="1236">
        <v>86856</v>
      </c>
      <c r="J161" s="1199"/>
      <c r="K161" s="1236">
        <v>86856</v>
      </c>
      <c r="L161" s="1236">
        <v>86856</v>
      </c>
      <c r="M161" s="672" t="s">
        <v>124</v>
      </c>
      <c r="N161" s="1250"/>
      <c r="O161" s="551">
        <v>12447.110500000001</v>
      </c>
      <c r="P161" s="552">
        <v>12746.86606</v>
      </c>
      <c r="Q161" s="549">
        <v>13061.418739999999</v>
      </c>
      <c r="R161" s="48"/>
      <c r="S161" s="48"/>
      <c r="T161" s="48"/>
      <c r="U161" s="48"/>
      <c r="V161" s="48"/>
    </row>
    <row r="162" spans="2:22" ht="30.75" customHeight="1" thickBot="1" x14ac:dyDescent="0.3">
      <c r="B162" s="1205"/>
      <c r="C162" s="1208"/>
      <c r="D162" s="692"/>
      <c r="E162" s="1208"/>
      <c r="F162" s="1202"/>
      <c r="G162" s="1256"/>
      <c r="H162" s="1208"/>
      <c r="I162" s="1208"/>
      <c r="J162" s="1208"/>
      <c r="K162" s="1208"/>
      <c r="L162" s="1208"/>
      <c r="M162" s="547" t="s">
        <v>745</v>
      </c>
      <c r="N162" s="681"/>
      <c r="O162" s="557">
        <v>0</v>
      </c>
      <c r="P162" s="676">
        <v>0</v>
      </c>
      <c r="Q162" s="563">
        <v>0</v>
      </c>
      <c r="R162" s="48"/>
      <c r="S162" s="48"/>
      <c r="T162" s="48"/>
      <c r="U162" s="48"/>
      <c r="V162" s="48"/>
    </row>
    <row r="163" spans="2:22" ht="35.25" customHeight="1" thickBot="1" x14ac:dyDescent="0.3">
      <c r="B163" s="1206" t="s">
        <v>64</v>
      </c>
      <c r="C163" s="1207" t="s">
        <v>557</v>
      </c>
      <c r="D163" s="1207">
        <v>27301830</v>
      </c>
      <c r="E163" s="1207" t="s">
        <v>458</v>
      </c>
      <c r="F163" s="1200" t="s">
        <v>700</v>
      </c>
      <c r="G163" s="1268" t="s">
        <v>702</v>
      </c>
      <c r="H163" s="1207" t="s">
        <v>244</v>
      </c>
      <c r="I163" s="1215">
        <f>54560+71280</f>
        <v>125840</v>
      </c>
      <c r="J163" s="1207" t="s">
        <v>462</v>
      </c>
      <c r="K163" s="1207">
        <f>54560+71280</f>
        <v>125840</v>
      </c>
      <c r="L163" s="1207">
        <f>54560+71280</f>
        <v>125840</v>
      </c>
      <c r="M163" s="542" t="s">
        <v>122</v>
      </c>
      <c r="N163" s="1248">
        <v>6704.5638200000003</v>
      </c>
      <c r="O163" s="551">
        <f>O164+O165+O166</f>
        <v>14646.4532</v>
      </c>
      <c r="P163" s="551">
        <f>P164+P165+P166</f>
        <v>14903.935380000001</v>
      </c>
      <c r="Q163" s="552">
        <f>Q164+Q165+Q166</f>
        <v>15173.872439999999</v>
      </c>
      <c r="R163" s="48"/>
      <c r="S163" s="48"/>
      <c r="T163" s="48"/>
      <c r="U163" s="48"/>
      <c r="V163" s="48"/>
    </row>
    <row r="164" spans="2:22" ht="45.75" customHeight="1" thickBot="1" x14ac:dyDescent="0.3">
      <c r="B164" s="1204"/>
      <c r="C164" s="1199"/>
      <c r="D164" s="1199"/>
      <c r="E164" s="1199"/>
      <c r="F164" s="1235"/>
      <c r="G164" s="1307"/>
      <c r="H164" s="1237"/>
      <c r="I164" s="1239"/>
      <c r="J164" s="1199"/>
      <c r="K164" s="1237"/>
      <c r="L164" s="1237"/>
      <c r="M164" s="636" t="s">
        <v>123</v>
      </c>
      <c r="N164" s="1249"/>
      <c r="O164" s="561">
        <v>0</v>
      </c>
      <c r="P164" s="562">
        <v>0</v>
      </c>
      <c r="Q164" s="550">
        <v>0</v>
      </c>
      <c r="R164" s="48"/>
      <c r="S164" s="48"/>
      <c r="T164" s="48"/>
      <c r="U164" s="48"/>
      <c r="V164" s="48"/>
    </row>
    <row r="165" spans="2:22" ht="35.25" customHeight="1" thickBot="1" x14ac:dyDescent="0.3">
      <c r="B165" s="1204"/>
      <c r="C165" s="1199"/>
      <c r="D165" s="1237"/>
      <c r="E165" s="1199"/>
      <c r="F165" s="1234" t="s">
        <v>699</v>
      </c>
      <c r="G165" s="1255" t="s">
        <v>701</v>
      </c>
      <c r="H165" s="1236" t="s">
        <v>244</v>
      </c>
      <c r="I165" s="1238">
        <v>133584</v>
      </c>
      <c r="J165" s="1199"/>
      <c r="K165" s="1236">
        <v>133584</v>
      </c>
      <c r="L165" s="1236">
        <v>133584</v>
      </c>
      <c r="M165" s="672" t="s">
        <v>124</v>
      </c>
      <c r="N165" s="1250"/>
      <c r="O165" s="551">
        <v>14646.4532</v>
      </c>
      <c r="P165" s="552">
        <v>14903.935380000001</v>
      </c>
      <c r="Q165" s="549">
        <v>15173.872439999999</v>
      </c>
      <c r="R165" s="48"/>
      <c r="S165" s="48"/>
      <c r="T165" s="48"/>
      <c r="U165" s="48"/>
      <c r="V165" s="48"/>
    </row>
    <row r="166" spans="2:22" ht="30.75" customHeight="1" thickBot="1" x14ac:dyDescent="0.3">
      <c r="B166" s="1204"/>
      <c r="C166" s="1199"/>
      <c r="D166" s="692"/>
      <c r="E166" s="1199"/>
      <c r="F166" s="1201"/>
      <c r="G166" s="1267"/>
      <c r="H166" s="1199"/>
      <c r="I166" s="1192"/>
      <c r="J166" s="1199"/>
      <c r="K166" s="1199"/>
      <c r="L166" s="1199"/>
      <c r="M166" s="1206" t="s">
        <v>745</v>
      </c>
      <c r="N166" s="681"/>
      <c r="O166" s="1246">
        <v>0</v>
      </c>
      <c r="P166" s="1246">
        <v>0</v>
      </c>
      <c r="Q166" s="1246">
        <v>0</v>
      </c>
      <c r="R166" s="48"/>
      <c r="S166" s="48"/>
      <c r="T166" s="48"/>
      <c r="U166" s="48"/>
      <c r="V166" s="48"/>
    </row>
    <row r="167" spans="2:22" ht="64.5" customHeight="1" thickBot="1" x14ac:dyDescent="0.3">
      <c r="B167" s="1205"/>
      <c r="C167" s="1208"/>
      <c r="D167" s="692"/>
      <c r="E167" s="1216"/>
      <c r="F167" s="590" t="s">
        <v>805</v>
      </c>
      <c r="G167" s="591" t="s">
        <v>187</v>
      </c>
      <c r="H167" s="628" t="s">
        <v>241</v>
      </c>
      <c r="I167" s="592">
        <v>3</v>
      </c>
      <c r="J167" s="1208"/>
      <c r="K167" s="1208"/>
      <c r="L167" s="1208"/>
      <c r="M167" s="1205"/>
      <c r="N167" s="681"/>
      <c r="O167" s="1247"/>
      <c r="P167" s="1247"/>
      <c r="Q167" s="1247"/>
      <c r="R167" s="48"/>
      <c r="S167" s="48"/>
      <c r="T167" s="48"/>
      <c r="U167" s="48"/>
      <c r="V167" s="48"/>
    </row>
    <row r="168" spans="2:22" ht="30.75" customHeight="1" thickBot="1" x14ac:dyDescent="0.3">
      <c r="B168" s="1206" t="s">
        <v>64</v>
      </c>
      <c r="C168" s="1215" t="s">
        <v>557</v>
      </c>
      <c r="D168" s="1199">
        <v>27301967</v>
      </c>
      <c r="E168" s="1207" t="s">
        <v>459</v>
      </c>
      <c r="F168" s="1201" t="s">
        <v>700</v>
      </c>
      <c r="G168" s="1201" t="s">
        <v>702</v>
      </c>
      <c r="H168" s="1199" t="s">
        <v>244</v>
      </c>
      <c r="I168" s="1199">
        <f>11776+43404</f>
        <v>55180</v>
      </c>
      <c r="J168" s="1199" t="s">
        <v>462</v>
      </c>
      <c r="K168" s="1199">
        <f>11776+43404</f>
        <v>55180</v>
      </c>
      <c r="L168" s="1199">
        <f>11776+43404</f>
        <v>55180</v>
      </c>
      <c r="M168" s="672" t="s">
        <v>122</v>
      </c>
      <c r="N168" s="1249">
        <v>6704.5638200000003</v>
      </c>
      <c r="O168" s="551">
        <f>O169+O170+O171</f>
        <v>7078.1825799999997</v>
      </c>
      <c r="P168" s="551">
        <f>P169+P170+P171</f>
        <v>7233.1577500000003</v>
      </c>
      <c r="Q168" s="552">
        <f>Q169+Q170+Q171</f>
        <v>7397.1684400000004</v>
      </c>
      <c r="R168" s="48"/>
      <c r="S168" s="48"/>
      <c r="T168" s="48"/>
      <c r="U168" s="48"/>
      <c r="V168" s="48"/>
    </row>
    <row r="169" spans="2:22" ht="46.5" customHeight="1" thickBot="1" x14ac:dyDescent="0.3">
      <c r="B169" s="1204"/>
      <c r="C169" s="1192"/>
      <c r="D169" s="1199"/>
      <c r="E169" s="1199"/>
      <c r="F169" s="1235"/>
      <c r="G169" s="1235"/>
      <c r="H169" s="1237"/>
      <c r="I169" s="1237"/>
      <c r="J169" s="1199"/>
      <c r="K169" s="1237"/>
      <c r="L169" s="1237"/>
      <c r="M169" s="636" t="s">
        <v>123</v>
      </c>
      <c r="N169" s="1249"/>
      <c r="O169" s="561">
        <v>0</v>
      </c>
      <c r="P169" s="562">
        <v>0</v>
      </c>
      <c r="Q169" s="550">
        <v>0</v>
      </c>
      <c r="R169" s="48"/>
      <c r="S169" s="48"/>
      <c r="T169" s="48"/>
      <c r="U169" s="48"/>
      <c r="V169" s="48"/>
    </row>
    <row r="170" spans="2:22" ht="26.25" customHeight="1" thickBot="1" x14ac:dyDescent="0.3">
      <c r="B170" s="1204"/>
      <c r="C170" s="1192"/>
      <c r="D170" s="1199"/>
      <c r="E170" s="1199"/>
      <c r="F170" s="1234" t="s">
        <v>699</v>
      </c>
      <c r="G170" s="1234" t="s">
        <v>701</v>
      </c>
      <c r="H170" s="1236" t="s">
        <v>244</v>
      </c>
      <c r="I170" s="1236" t="s">
        <v>715</v>
      </c>
      <c r="J170" s="1199"/>
      <c r="K170" s="1236" t="s">
        <v>715</v>
      </c>
      <c r="L170" s="1236" t="s">
        <v>715</v>
      </c>
      <c r="M170" s="672" t="s">
        <v>124</v>
      </c>
      <c r="N170" s="1250"/>
      <c r="O170" s="551">
        <v>7078.1825799999997</v>
      </c>
      <c r="P170" s="552">
        <v>7233.1577500000003</v>
      </c>
      <c r="Q170" s="549">
        <v>7397.1684400000004</v>
      </c>
      <c r="R170" s="48"/>
      <c r="S170" s="48"/>
      <c r="T170" s="48"/>
      <c r="U170" s="48"/>
      <c r="V170" s="48"/>
    </row>
    <row r="171" spans="2:22" ht="39" customHeight="1" thickBot="1" x14ac:dyDescent="0.3">
      <c r="B171" s="670"/>
      <c r="C171" s="1216"/>
      <c r="D171" s="674"/>
      <c r="E171" s="1208"/>
      <c r="F171" s="1202"/>
      <c r="G171" s="1202"/>
      <c r="H171" s="1208"/>
      <c r="I171" s="1208"/>
      <c r="J171" s="1208"/>
      <c r="K171" s="1208"/>
      <c r="L171" s="1208"/>
      <c r="M171" s="547" t="s">
        <v>745</v>
      </c>
      <c r="N171" s="681"/>
      <c r="O171" s="557">
        <v>0</v>
      </c>
      <c r="P171" s="676">
        <v>0</v>
      </c>
      <c r="Q171" s="563">
        <v>0</v>
      </c>
      <c r="R171" s="48"/>
      <c r="S171" s="48"/>
      <c r="T171" s="48"/>
      <c r="U171" s="48"/>
      <c r="V171" s="48"/>
    </row>
    <row r="172" spans="2:22" ht="31.5" customHeight="1" thickBot="1" x14ac:dyDescent="0.3">
      <c r="B172" s="1206" t="s">
        <v>64</v>
      </c>
      <c r="C172" s="1215" t="s">
        <v>557</v>
      </c>
      <c r="D172" s="1229"/>
      <c r="E172" s="1207" t="s">
        <v>460</v>
      </c>
      <c r="F172" s="1200" t="s">
        <v>699</v>
      </c>
      <c r="G172" s="1200" t="s">
        <v>701</v>
      </c>
      <c r="H172" s="1207" t="s">
        <v>244</v>
      </c>
      <c r="I172" s="1207">
        <v>58236</v>
      </c>
      <c r="J172" s="1207" t="s">
        <v>462</v>
      </c>
      <c r="K172" s="1207">
        <v>58236</v>
      </c>
      <c r="L172" s="1207">
        <v>58236</v>
      </c>
      <c r="M172" s="542" t="s">
        <v>122</v>
      </c>
      <c r="N172" s="1248"/>
      <c r="O172" s="551">
        <f>O173+O174+O175</f>
        <v>7895.2383</v>
      </c>
      <c r="P172" s="551">
        <f>P173+P174+P175</f>
        <v>8111.2222499999998</v>
      </c>
      <c r="Q172" s="552">
        <f>Q173+Q174+Q175</f>
        <v>8337.7975100000003</v>
      </c>
      <c r="R172" s="48"/>
      <c r="S172" s="48"/>
      <c r="T172" s="48"/>
      <c r="U172" s="48"/>
      <c r="V172" s="48"/>
    </row>
    <row r="173" spans="2:22" ht="24.75" customHeight="1" thickBot="1" x14ac:dyDescent="0.3">
      <c r="B173" s="1204"/>
      <c r="C173" s="1192"/>
      <c r="D173" s="1230"/>
      <c r="E173" s="1199"/>
      <c r="F173" s="1235"/>
      <c r="G173" s="1235"/>
      <c r="H173" s="1237"/>
      <c r="I173" s="1237"/>
      <c r="J173" s="1199"/>
      <c r="K173" s="1237"/>
      <c r="L173" s="1237"/>
      <c r="M173" s="636" t="s">
        <v>123</v>
      </c>
      <c r="N173" s="1249"/>
      <c r="O173" s="561">
        <v>0</v>
      </c>
      <c r="P173" s="562">
        <v>0</v>
      </c>
      <c r="Q173" s="550">
        <v>0</v>
      </c>
      <c r="R173" s="48"/>
      <c r="S173" s="48"/>
      <c r="T173" s="48"/>
      <c r="U173" s="48"/>
      <c r="V173" s="48"/>
    </row>
    <row r="174" spans="2:22" ht="24.75" customHeight="1" thickBot="1" x14ac:dyDescent="0.3">
      <c r="B174" s="1204"/>
      <c r="C174" s="1192"/>
      <c r="D174" s="1245"/>
      <c r="E174" s="1199"/>
      <c r="F174" s="1234" t="s">
        <v>708</v>
      </c>
      <c r="G174" s="1234" t="s">
        <v>234</v>
      </c>
      <c r="H174" s="1236" t="s">
        <v>393</v>
      </c>
      <c r="I174" s="1236">
        <v>4</v>
      </c>
      <c r="J174" s="1199"/>
      <c r="K174" s="1236">
        <v>4</v>
      </c>
      <c r="L174" s="1236">
        <v>4</v>
      </c>
      <c r="M174" s="672" t="s">
        <v>124</v>
      </c>
      <c r="N174" s="1250"/>
      <c r="O174" s="551">
        <v>7895.2383</v>
      </c>
      <c r="P174" s="552">
        <v>8111.2222499999998</v>
      </c>
      <c r="Q174" s="549">
        <v>8337.7975100000003</v>
      </c>
      <c r="R174" s="48"/>
      <c r="S174" s="48"/>
      <c r="T174" s="48"/>
      <c r="U174" s="48"/>
      <c r="V174" s="48"/>
    </row>
    <row r="175" spans="2:22" ht="41.25" customHeight="1" thickBot="1" x14ac:dyDescent="0.3">
      <c r="B175" s="1205"/>
      <c r="C175" s="1216"/>
      <c r="D175" s="674"/>
      <c r="E175" s="1208"/>
      <c r="F175" s="1202"/>
      <c r="G175" s="1202"/>
      <c r="H175" s="1208"/>
      <c r="I175" s="1208"/>
      <c r="J175" s="1208"/>
      <c r="K175" s="1208"/>
      <c r="L175" s="1208"/>
      <c r="M175" s="547" t="s">
        <v>745</v>
      </c>
      <c r="N175" s="681"/>
      <c r="O175" s="557">
        <v>0</v>
      </c>
      <c r="P175" s="676">
        <v>0</v>
      </c>
      <c r="Q175" s="563">
        <v>0</v>
      </c>
      <c r="R175" s="48"/>
      <c r="S175" s="48"/>
      <c r="T175" s="48"/>
      <c r="U175" s="48"/>
      <c r="V175" s="48"/>
    </row>
    <row r="176" spans="2:22" ht="30.75" customHeight="1" thickBot="1" x14ac:dyDescent="0.3">
      <c r="B176" s="1206" t="s">
        <v>64</v>
      </c>
      <c r="C176" s="1215" t="s">
        <v>557</v>
      </c>
      <c r="D176" s="673">
        <v>27302111</v>
      </c>
      <c r="E176" s="1207" t="s">
        <v>463</v>
      </c>
      <c r="F176" s="1200" t="s">
        <v>700</v>
      </c>
      <c r="G176" s="1200" t="s">
        <v>702</v>
      </c>
      <c r="H176" s="1207" t="s">
        <v>244</v>
      </c>
      <c r="I176" s="1207">
        <f>3220+24104+45264</f>
        <v>72588</v>
      </c>
      <c r="J176" s="1207" t="s">
        <v>462</v>
      </c>
      <c r="K176" s="1207">
        <f>3220+24104+45264</f>
        <v>72588</v>
      </c>
      <c r="L176" s="1207">
        <f>3220+24104+45264</f>
        <v>72588</v>
      </c>
      <c r="M176" s="542" t="s">
        <v>122</v>
      </c>
      <c r="N176" s="1248"/>
      <c r="O176" s="551">
        <f>O177+O178+O179</f>
        <v>9921.5108400000008</v>
      </c>
      <c r="P176" s="551">
        <f>P177+P178+P179</f>
        <v>10210.86334</v>
      </c>
      <c r="Q176" s="552">
        <f>Q177+Q178+Q179</f>
        <v>10514.67677</v>
      </c>
      <c r="R176" s="48"/>
      <c r="S176" s="48"/>
      <c r="T176" s="48"/>
      <c r="U176" s="48"/>
      <c r="V176" s="48"/>
    </row>
    <row r="177" spans="2:22" ht="24.75" customHeight="1" thickBot="1" x14ac:dyDescent="0.3">
      <c r="B177" s="1204"/>
      <c r="C177" s="1192"/>
      <c r="D177" s="673"/>
      <c r="E177" s="1199"/>
      <c r="F177" s="1201"/>
      <c r="G177" s="1201"/>
      <c r="H177" s="1199"/>
      <c r="I177" s="1199"/>
      <c r="J177" s="1199"/>
      <c r="K177" s="1199"/>
      <c r="L177" s="1199"/>
      <c r="M177" s="636" t="s">
        <v>123</v>
      </c>
      <c r="N177" s="1249"/>
      <c r="O177" s="561">
        <v>0</v>
      </c>
      <c r="P177" s="562">
        <v>0</v>
      </c>
      <c r="Q177" s="550">
        <v>0</v>
      </c>
      <c r="R177" s="48"/>
      <c r="S177" s="48"/>
      <c r="T177" s="48"/>
      <c r="U177" s="48"/>
      <c r="V177" s="48"/>
    </row>
    <row r="178" spans="2:22" ht="25.5" customHeight="1" thickBot="1" x14ac:dyDescent="0.3">
      <c r="B178" s="1204"/>
      <c r="C178" s="1192"/>
      <c r="D178" s="673"/>
      <c r="E178" s="1199"/>
      <c r="F178" s="1201"/>
      <c r="G178" s="1201"/>
      <c r="H178" s="1199"/>
      <c r="I178" s="1199"/>
      <c r="J178" s="1199"/>
      <c r="K178" s="1199"/>
      <c r="L178" s="1199"/>
      <c r="M178" s="672" t="s">
        <v>124</v>
      </c>
      <c r="N178" s="1250"/>
      <c r="O178" s="551">
        <v>9921.5108400000008</v>
      </c>
      <c r="P178" s="552">
        <v>10210.86334</v>
      </c>
      <c r="Q178" s="549">
        <v>10514.67677</v>
      </c>
      <c r="R178" s="48"/>
      <c r="S178" s="48"/>
      <c r="T178" s="48"/>
      <c r="U178" s="48"/>
      <c r="V178" s="48"/>
    </row>
    <row r="179" spans="2:22" ht="26.25" customHeight="1" thickBot="1" x14ac:dyDescent="0.3">
      <c r="B179" s="1205"/>
      <c r="C179" s="1216"/>
      <c r="D179" s="673"/>
      <c r="E179" s="1208"/>
      <c r="F179" s="1202"/>
      <c r="G179" s="1202"/>
      <c r="H179" s="1208"/>
      <c r="I179" s="1208"/>
      <c r="J179" s="1208"/>
      <c r="K179" s="1208"/>
      <c r="L179" s="1208"/>
      <c r="M179" s="547" t="s">
        <v>745</v>
      </c>
      <c r="N179" s="681"/>
      <c r="O179" s="557">
        <v>0</v>
      </c>
      <c r="P179" s="676">
        <v>0</v>
      </c>
      <c r="Q179" s="563">
        <v>0</v>
      </c>
      <c r="R179" s="48"/>
      <c r="S179" s="48"/>
      <c r="T179" s="48"/>
      <c r="U179" s="48"/>
      <c r="V179" s="48"/>
    </row>
    <row r="180" spans="2:22" ht="22.5" customHeight="1" thickBot="1" x14ac:dyDescent="0.3">
      <c r="B180" s="1206" t="s">
        <v>64</v>
      </c>
      <c r="C180" s="1215" t="s">
        <v>557</v>
      </c>
      <c r="D180" s="704">
        <v>27300364</v>
      </c>
      <c r="E180" s="1207" t="s">
        <v>192</v>
      </c>
      <c r="F180" s="1200" t="s">
        <v>635</v>
      </c>
      <c r="G180" s="1207" t="s">
        <v>116</v>
      </c>
      <c r="H180" s="1207" t="s">
        <v>116</v>
      </c>
      <c r="I180" s="1207" t="s">
        <v>116</v>
      </c>
      <c r="J180" s="1207" t="s">
        <v>462</v>
      </c>
      <c r="K180" s="1207" t="s">
        <v>116</v>
      </c>
      <c r="L180" s="1207" t="s">
        <v>116</v>
      </c>
      <c r="M180" s="542" t="s">
        <v>122</v>
      </c>
      <c r="N180" s="1248"/>
      <c r="O180" s="551">
        <f>O181+O182+O183</f>
        <v>942.04898000000003</v>
      </c>
      <c r="P180" s="551">
        <f>P181+P182+P183</f>
        <v>701.39282000000003</v>
      </c>
      <c r="Q180" s="552">
        <f>Q181+Q182+Q183</f>
        <v>618.32308999999998</v>
      </c>
      <c r="R180" s="48"/>
      <c r="S180" s="48"/>
      <c r="T180" s="48"/>
      <c r="U180" s="48"/>
      <c r="V180" s="48"/>
    </row>
    <row r="181" spans="2:22" ht="20.25" customHeight="1" thickBot="1" x14ac:dyDescent="0.3">
      <c r="B181" s="1204"/>
      <c r="C181" s="1192"/>
      <c r="D181" s="674"/>
      <c r="E181" s="1199"/>
      <c r="F181" s="1201"/>
      <c r="G181" s="1199"/>
      <c r="H181" s="1199"/>
      <c r="I181" s="1199"/>
      <c r="J181" s="1199"/>
      <c r="K181" s="1199"/>
      <c r="L181" s="1199"/>
      <c r="M181" s="636" t="s">
        <v>123</v>
      </c>
      <c r="N181" s="1249"/>
      <c r="O181" s="561">
        <v>0</v>
      </c>
      <c r="P181" s="562">
        <v>0</v>
      </c>
      <c r="Q181" s="550">
        <v>0</v>
      </c>
      <c r="R181" s="48"/>
      <c r="S181" s="48"/>
      <c r="T181" s="48"/>
      <c r="U181" s="48"/>
      <c r="V181" s="48"/>
    </row>
    <row r="182" spans="2:22" ht="28.5" customHeight="1" thickBot="1" x14ac:dyDescent="0.3">
      <c r="B182" s="1204"/>
      <c r="C182" s="1192"/>
      <c r="D182" s="674"/>
      <c r="E182" s="1199"/>
      <c r="F182" s="1201"/>
      <c r="G182" s="1199"/>
      <c r="H182" s="1199"/>
      <c r="I182" s="1199"/>
      <c r="J182" s="1199"/>
      <c r="K182" s="1199"/>
      <c r="L182" s="1199"/>
      <c r="M182" s="672" t="s">
        <v>124</v>
      </c>
      <c r="N182" s="1250"/>
      <c r="O182" s="551">
        <v>942.04898000000003</v>
      </c>
      <c r="P182" s="552">
        <v>701.39282000000003</v>
      </c>
      <c r="Q182" s="549">
        <v>618.32308999999998</v>
      </c>
      <c r="R182" s="48"/>
      <c r="S182" s="48"/>
      <c r="T182" s="48"/>
      <c r="U182" s="48"/>
      <c r="V182" s="48"/>
    </row>
    <row r="183" spans="2:22" ht="20.25" customHeight="1" thickBot="1" x14ac:dyDescent="0.3">
      <c r="B183" s="1205"/>
      <c r="C183" s="1216"/>
      <c r="D183" s="674"/>
      <c r="E183" s="1208"/>
      <c r="F183" s="1202"/>
      <c r="G183" s="1208"/>
      <c r="H183" s="1208"/>
      <c r="I183" s="1208"/>
      <c r="J183" s="1208"/>
      <c r="K183" s="1208"/>
      <c r="L183" s="1208"/>
      <c r="M183" s="547" t="s">
        <v>745</v>
      </c>
      <c r="N183" s="681"/>
      <c r="O183" s="557">
        <v>0</v>
      </c>
      <c r="P183" s="676">
        <v>0</v>
      </c>
      <c r="Q183" s="563">
        <v>0</v>
      </c>
      <c r="R183" s="48"/>
      <c r="S183" s="48"/>
      <c r="T183" s="48"/>
      <c r="U183" s="48"/>
      <c r="V183" s="48"/>
    </row>
    <row r="184" spans="2:22" ht="27" customHeight="1" thickBot="1" x14ac:dyDescent="0.3">
      <c r="B184" s="1206" t="s">
        <v>64</v>
      </c>
      <c r="C184" s="1207" t="s">
        <v>291</v>
      </c>
      <c r="D184" s="673" t="s">
        <v>116</v>
      </c>
      <c r="E184" s="1207" t="s">
        <v>116</v>
      </c>
      <c r="F184" s="1200" t="s">
        <v>77</v>
      </c>
      <c r="G184" s="1207" t="s">
        <v>116</v>
      </c>
      <c r="H184" s="1242" t="s">
        <v>116</v>
      </c>
      <c r="I184" s="1207" t="s">
        <v>116</v>
      </c>
      <c r="J184" s="1299" t="s">
        <v>462</v>
      </c>
      <c r="K184" s="1207" t="s">
        <v>116</v>
      </c>
      <c r="L184" s="1207" t="s">
        <v>116</v>
      </c>
      <c r="M184" s="542" t="s">
        <v>122</v>
      </c>
      <c r="N184" s="543"/>
      <c r="O184" s="544">
        <f>O188+O192+O196+O204+O208+O212+O216+O220+O224+O228+O232+O236+O240+O244+O248+O252+O256+O260+O264+O268+O272+O276+O280+O284+O288+O292+O296+O300+O304</f>
        <v>175449.848</v>
      </c>
      <c r="P184" s="544">
        <f>P188+P192+P196+P204+P208+P212+P216+P220+P224+P228+P232+P236+P240+P244+P248+P252+P256+P260+P264+P268+P272+P276+P280+P284+P288+P292+P296+P300+P304</f>
        <v>34810.410000000003</v>
      </c>
      <c r="Q184" s="675">
        <f>Q188+Q192+Q196+Q204+Q208+Q212+Q216+Q220+Q224+Q228+Q232+Q236+Q240+Q244+Q248+Q252+Q256+Q260+Q264+Q268+Q272+Q276+Q280+Q284+Q288+Q292+Q296+Q300+Q304</f>
        <v>45575.41</v>
      </c>
      <c r="R184" s="48"/>
      <c r="S184" s="48"/>
      <c r="T184" s="48"/>
      <c r="U184" s="48"/>
      <c r="V184" s="48"/>
    </row>
    <row r="185" spans="2:22" ht="24" customHeight="1" thickBot="1" x14ac:dyDescent="0.3">
      <c r="B185" s="1204"/>
      <c r="C185" s="1199"/>
      <c r="D185" s="654"/>
      <c r="E185" s="1199"/>
      <c r="F185" s="1201"/>
      <c r="G185" s="1199"/>
      <c r="H185" s="1243"/>
      <c r="I185" s="1199"/>
      <c r="J185" s="1300"/>
      <c r="K185" s="1199"/>
      <c r="L185" s="1199"/>
      <c r="M185" s="636" t="s">
        <v>123</v>
      </c>
      <c r="N185" s="549"/>
      <c r="O185" s="544">
        <f t="shared" ref="O185:Q187" si="6">O189+O193+O197+O201+O205+O209+O213+O217+O221+O225+O229+O233+O237+O241+O245+O249+O253+O257+O261+O265+O269+O273+O277+O281+O289+O293+O297+O301+O305</f>
        <v>45733</v>
      </c>
      <c r="P185" s="544">
        <f t="shared" si="6"/>
        <v>0</v>
      </c>
      <c r="Q185" s="675">
        <f t="shared" si="6"/>
        <v>0</v>
      </c>
      <c r="R185" s="48"/>
      <c r="S185" s="48"/>
      <c r="T185" s="48"/>
      <c r="U185" s="48"/>
      <c r="V185" s="48"/>
    </row>
    <row r="186" spans="2:22" ht="23.25" customHeight="1" thickBot="1" x14ac:dyDescent="0.3">
      <c r="B186" s="1204"/>
      <c r="C186" s="1199"/>
      <c r="D186" s="555"/>
      <c r="E186" s="1199"/>
      <c r="F186" s="1201"/>
      <c r="G186" s="1199"/>
      <c r="H186" s="1243"/>
      <c r="I186" s="1199"/>
      <c r="J186" s="1300"/>
      <c r="K186" s="1199"/>
      <c r="L186" s="1199"/>
      <c r="M186" s="672" t="s">
        <v>124</v>
      </c>
      <c r="N186" s="550"/>
      <c r="O186" s="544">
        <f t="shared" si="6"/>
        <v>129716.848</v>
      </c>
      <c r="P186" s="544">
        <f t="shared" si="6"/>
        <v>34360.410000000003</v>
      </c>
      <c r="Q186" s="675">
        <f t="shared" si="6"/>
        <v>45575.41</v>
      </c>
      <c r="R186" s="48"/>
      <c r="S186" s="48"/>
      <c r="T186" s="48"/>
      <c r="U186" s="48"/>
      <c r="V186" s="48"/>
    </row>
    <row r="187" spans="2:22" ht="22.5" customHeight="1" thickBot="1" x14ac:dyDescent="0.3">
      <c r="B187" s="1241"/>
      <c r="C187" s="1208"/>
      <c r="D187" s="558"/>
      <c r="E187" s="1208"/>
      <c r="F187" s="1202"/>
      <c r="G187" s="1208"/>
      <c r="H187" s="1244"/>
      <c r="I187" s="1208"/>
      <c r="J187" s="1301"/>
      <c r="K187" s="1208"/>
      <c r="L187" s="1208"/>
      <c r="M187" s="547" t="s">
        <v>745</v>
      </c>
      <c r="N187" s="549"/>
      <c r="O187" s="551">
        <f t="shared" si="6"/>
        <v>79180.384730000005</v>
      </c>
      <c r="P187" s="551">
        <f t="shared" si="6"/>
        <v>0</v>
      </c>
      <c r="Q187" s="552">
        <f t="shared" si="6"/>
        <v>0</v>
      </c>
      <c r="R187" s="48"/>
      <c r="S187" s="48"/>
      <c r="T187" s="48"/>
      <c r="U187" s="48"/>
      <c r="V187" s="48"/>
    </row>
    <row r="188" spans="2:22" ht="42.75" customHeight="1" thickBot="1" x14ac:dyDescent="0.3">
      <c r="B188" s="1240" t="s">
        <v>64</v>
      </c>
      <c r="C188" s="1238" t="s">
        <v>291</v>
      </c>
      <c r="D188" s="555">
        <v>27302170</v>
      </c>
      <c r="E188" s="1236" t="s">
        <v>200</v>
      </c>
      <c r="F188" s="1234" t="s">
        <v>870</v>
      </c>
      <c r="G188" s="1236" t="s">
        <v>190</v>
      </c>
      <c r="H188" s="1312" t="s">
        <v>240</v>
      </c>
      <c r="I188" s="1236">
        <v>1</v>
      </c>
      <c r="J188" s="1207" t="s">
        <v>462</v>
      </c>
      <c r="K188" s="1206" t="s">
        <v>199</v>
      </c>
      <c r="L188" s="1206" t="s">
        <v>199</v>
      </c>
      <c r="M188" s="542" t="s">
        <v>122</v>
      </c>
      <c r="N188" s="1248"/>
      <c r="O188" s="551">
        <f>O189+O190</f>
        <v>74788.896999999997</v>
      </c>
      <c r="P188" s="551">
        <f>P189+P190</f>
        <v>0</v>
      </c>
      <c r="Q188" s="552">
        <f>Q189+Q190</f>
        <v>0</v>
      </c>
      <c r="R188" s="48"/>
      <c r="S188" s="48"/>
      <c r="T188" s="48"/>
      <c r="U188" s="48"/>
      <c r="V188" s="48"/>
    </row>
    <row r="189" spans="2:22" ht="44.25" customHeight="1" thickBot="1" x14ac:dyDescent="0.3">
      <c r="B189" s="1204"/>
      <c r="C189" s="1192"/>
      <c r="D189" s="555"/>
      <c r="E189" s="1199"/>
      <c r="F189" s="1201"/>
      <c r="G189" s="1199"/>
      <c r="H189" s="1209"/>
      <c r="I189" s="1199"/>
      <c r="J189" s="1199"/>
      <c r="K189" s="1204"/>
      <c r="L189" s="1204"/>
      <c r="M189" s="636" t="s">
        <v>123</v>
      </c>
      <c r="N189" s="1249"/>
      <c r="O189" s="561">
        <v>0</v>
      </c>
      <c r="P189" s="562">
        <v>0</v>
      </c>
      <c r="Q189" s="550">
        <v>0</v>
      </c>
      <c r="R189" s="48"/>
      <c r="S189" s="48"/>
      <c r="T189" s="48"/>
      <c r="U189" s="48"/>
      <c r="V189" s="48"/>
    </row>
    <row r="190" spans="2:22" ht="22.5" customHeight="1" thickBot="1" x14ac:dyDescent="0.3">
      <c r="B190" s="1204"/>
      <c r="C190" s="1192"/>
      <c r="D190" s="555"/>
      <c r="E190" s="1199"/>
      <c r="F190" s="1201"/>
      <c r="G190" s="1199"/>
      <c r="H190" s="1209"/>
      <c r="I190" s="1199"/>
      <c r="J190" s="1199"/>
      <c r="K190" s="1204"/>
      <c r="L190" s="1204"/>
      <c r="M190" s="672" t="s">
        <v>124</v>
      </c>
      <c r="N190" s="1250"/>
      <c r="O190" s="706">
        <v>74788.896999999997</v>
      </c>
      <c r="P190" s="552">
        <v>0</v>
      </c>
      <c r="Q190" s="549">
        <v>0</v>
      </c>
      <c r="R190" s="48"/>
      <c r="S190" s="48"/>
      <c r="T190" s="48"/>
      <c r="U190" s="48"/>
      <c r="V190" s="48"/>
    </row>
    <row r="191" spans="2:22" ht="25.5" customHeight="1" thickBot="1" x14ac:dyDescent="0.3">
      <c r="B191" s="1241"/>
      <c r="C191" s="1239"/>
      <c r="D191" s="555"/>
      <c r="E191" s="1237"/>
      <c r="F191" s="1235"/>
      <c r="G191" s="1237"/>
      <c r="H191" s="1291"/>
      <c r="I191" s="1237"/>
      <c r="J191" s="1208"/>
      <c r="K191" s="1204"/>
      <c r="L191" s="1204"/>
      <c r="M191" s="547" t="s">
        <v>745</v>
      </c>
      <c r="N191" s="681"/>
      <c r="O191" s="557">
        <v>60265.913999999997</v>
      </c>
      <c r="P191" s="676">
        <v>0</v>
      </c>
      <c r="Q191" s="563">
        <v>0</v>
      </c>
      <c r="R191" s="48"/>
      <c r="S191" s="48"/>
      <c r="T191" s="48"/>
      <c r="U191" s="48"/>
      <c r="V191" s="48"/>
    </row>
    <row r="192" spans="2:22" ht="16.5" thickBot="1" x14ac:dyDescent="0.3">
      <c r="B192" s="1240" t="s">
        <v>64</v>
      </c>
      <c r="C192" s="1238" t="s">
        <v>291</v>
      </c>
      <c r="D192" s="555">
        <v>27302170</v>
      </c>
      <c r="E192" s="1236" t="s">
        <v>200</v>
      </c>
      <c r="F192" s="1234" t="s">
        <v>760</v>
      </c>
      <c r="G192" s="1236" t="s">
        <v>190</v>
      </c>
      <c r="H192" s="1312" t="s">
        <v>240</v>
      </c>
      <c r="I192" s="1236">
        <v>1</v>
      </c>
      <c r="J192" s="1207" t="s">
        <v>462</v>
      </c>
      <c r="K192" s="1206" t="s">
        <v>199</v>
      </c>
      <c r="L192" s="1206" t="s">
        <v>199</v>
      </c>
      <c r="M192" s="542" t="s">
        <v>122</v>
      </c>
      <c r="N192" s="1248"/>
      <c r="O192" s="551">
        <f>O193+O194</f>
        <v>0</v>
      </c>
      <c r="P192" s="551">
        <f>P193+P194</f>
        <v>0</v>
      </c>
      <c r="Q192" s="552">
        <f>Q193+Q194</f>
        <v>0</v>
      </c>
      <c r="R192" s="48"/>
      <c r="S192" s="48"/>
      <c r="T192" s="48"/>
      <c r="U192" s="48"/>
      <c r="V192" s="48"/>
    </row>
    <row r="193" spans="2:22" ht="16.5" thickBot="1" x14ac:dyDescent="0.3">
      <c r="B193" s="1204"/>
      <c r="C193" s="1192"/>
      <c r="D193" s="555"/>
      <c r="E193" s="1199"/>
      <c r="F193" s="1201"/>
      <c r="G193" s="1199"/>
      <c r="H193" s="1209"/>
      <c r="I193" s="1199"/>
      <c r="J193" s="1199"/>
      <c r="K193" s="1204"/>
      <c r="L193" s="1204"/>
      <c r="M193" s="636" t="s">
        <v>123</v>
      </c>
      <c r="N193" s="1249"/>
      <c r="O193" s="561">
        <v>0</v>
      </c>
      <c r="P193" s="562">
        <v>0</v>
      </c>
      <c r="Q193" s="550">
        <v>0</v>
      </c>
      <c r="R193" s="48"/>
      <c r="S193" s="48"/>
      <c r="T193" s="48"/>
      <c r="U193" s="48"/>
      <c r="V193" s="48"/>
    </row>
    <row r="194" spans="2:22" ht="18.75" customHeight="1" thickBot="1" x14ac:dyDescent="0.3">
      <c r="B194" s="1204"/>
      <c r="C194" s="1192"/>
      <c r="D194" s="555"/>
      <c r="E194" s="1199"/>
      <c r="F194" s="1201"/>
      <c r="G194" s="1199"/>
      <c r="H194" s="1209"/>
      <c r="I194" s="1199"/>
      <c r="J194" s="1199"/>
      <c r="K194" s="1204"/>
      <c r="L194" s="1204"/>
      <c r="M194" s="672" t="s">
        <v>124</v>
      </c>
      <c r="N194" s="1250"/>
      <c r="O194" s="551">
        <v>0</v>
      </c>
      <c r="P194" s="552">
        <v>0</v>
      </c>
      <c r="Q194" s="549">
        <v>0</v>
      </c>
      <c r="R194" s="48"/>
      <c r="S194" s="48"/>
      <c r="T194" s="48"/>
      <c r="U194" s="48"/>
      <c r="V194" s="48"/>
    </row>
    <row r="195" spans="2:22" ht="21" customHeight="1" thickBot="1" x14ac:dyDescent="0.3">
      <c r="B195" s="1241"/>
      <c r="C195" s="1239"/>
      <c r="D195" s="555"/>
      <c r="E195" s="1237"/>
      <c r="F195" s="1235"/>
      <c r="G195" s="1237"/>
      <c r="H195" s="1291"/>
      <c r="I195" s="1237"/>
      <c r="J195" s="1208"/>
      <c r="K195" s="1204"/>
      <c r="L195" s="1204"/>
      <c r="M195" s="547" t="s">
        <v>745</v>
      </c>
      <c r="N195" s="681"/>
      <c r="O195" s="557">
        <v>645.16999999999996</v>
      </c>
      <c r="P195" s="676">
        <v>0</v>
      </c>
      <c r="Q195" s="563">
        <v>0</v>
      </c>
      <c r="R195" s="48"/>
      <c r="S195" s="48"/>
      <c r="T195" s="48"/>
      <c r="U195" s="48"/>
      <c r="V195" s="48"/>
    </row>
    <row r="196" spans="2:22" ht="27" customHeight="1" thickBot="1" x14ac:dyDescent="0.3">
      <c r="B196" s="1240" t="s">
        <v>64</v>
      </c>
      <c r="C196" s="1238" t="s">
        <v>291</v>
      </c>
      <c r="D196" s="555">
        <v>27302170</v>
      </c>
      <c r="E196" s="1236" t="s">
        <v>200</v>
      </c>
      <c r="F196" s="1234" t="s">
        <v>849</v>
      </c>
      <c r="G196" s="1236" t="s">
        <v>190</v>
      </c>
      <c r="H196" s="1312" t="s">
        <v>240</v>
      </c>
      <c r="I196" s="1236">
        <v>1</v>
      </c>
      <c r="J196" s="1207" t="s">
        <v>462</v>
      </c>
      <c r="K196" s="1206" t="s">
        <v>199</v>
      </c>
      <c r="L196" s="1206" t="s">
        <v>199</v>
      </c>
      <c r="M196" s="542" t="s">
        <v>122</v>
      </c>
      <c r="N196" s="1248"/>
      <c r="O196" s="551">
        <f>O197+O198</f>
        <v>0</v>
      </c>
      <c r="P196" s="551">
        <f>P197+P198</f>
        <v>0</v>
      </c>
      <c r="Q196" s="552">
        <f>Q197+Q198</f>
        <v>0</v>
      </c>
      <c r="R196" s="48"/>
      <c r="S196" s="48"/>
      <c r="T196" s="48"/>
      <c r="U196" s="48"/>
      <c r="V196" s="48"/>
    </row>
    <row r="197" spans="2:22" ht="29.25" customHeight="1" thickBot="1" x14ac:dyDescent="0.3">
      <c r="B197" s="1204"/>
      <c r="C197" s="1192"/>
      <c r="D197" s="555"/>
      <c r="E197" s="1199"/>
      <c r="F197" s="1201"/>
      <c r="G197" s="1199"/>
      <c r="H197" s="1209"/>
      <c r="I197" s="1199"/>
      <c r="J197" s="1199"/>
      <c r="K197" s="1204"/>
      <c r="L197" s="1204"/>
      <c r="M197" s="636" t="s">
        <v>123</v>
      </c>
      <c r="N197" s="1249"/>
      <c r="O197" s="561">
        <v>0</v>
      </c>
      <c r="P197" s="562">
        <v>0</v>
      </c>
      <c r="Q197" s="550">
        <v>0</v>
      </c>
      <c r="R197" s="48"/>
      <c r="S197" s="48"/>
      <c r="T197" s="48"/>
      <c r="U197" s="48"/>
      <c r="V197" s="48"/>
    </row>
    <row r="198" spans="2:22" ht="24" customHeight="1" thickBot="1" x14ac:dyDescent="0.3">
      <c r="B198" s="1204"/>
      <c r="C198" s="1192"/>
      <c r="D198" s="555"/>
      <c r="E198" s="1199"/>
      <c r="F198" s="1201"/>
      <c r="G198" s="1199"/>
      <c r="H198" s="1209"/>
      <c r="I198" s="1199"/>
      <c r="J198" s="1199"/>
      <c r="K198" s="1204"/>
      <c r="L198" s="1204"/>
      <c r="M198" s="672" t="s">
        <v>124</v>
      </c>
      <c r="N198" s="1250"/>
      <c r="O198" s="551">
        <v>0</v>
      </c>
      <c r="P198" s="552">
        <v>0</v>
      </c>
      <c r="Q198" s="549">
        <v>0</v>
      </c>
      <c r="R198" s="48"/>
      <c r="S198" s="48"/>
      <c r="T198" s="48"/>
      <c r="U198" s="48"/>
      <c r="V198" s="48"/>
    </row>
    <row r="199" spans="2:22" ht="24" customHeight="1" thickBot="1" x14ac:dyDescent="0.3">
      <c r="B199" s="1241"/>
      <c r="C199" s="1239"/>
      <c r="D199" s="555"/>
      <c r="E199" s="1237"/>
      <c r="F199" s="1235"/>
      <c r="G199" s="1237"/>
      <c r="H199" s="1291"/>
      <c r="I199" s="1237"/>
      <c r="J199" s="1208"/>
      <c r="K199" s="1204"/>
      <c r="L199" s="1204"/>
      <c r="M199" s="547" t="s">
        <v>745</v>
      </c>
      <c r="N199" s="681"/>
      <c r="O199" s="557">
        <v>2062.09</v>
      </c>
      <c r="P199" s="676">
        <v>0</v>
      </c>
      <c r="Q199" s="563">
        <v>0</v>
      </c>
      <c r="R199" s="48"/>
      <c r="S199" s="48"/>
      <c r="T199" s="48"/>
      <c r="U199" s="48"/>
      <c r="V199" s="48"/>
    </row>
    <row r="200" spans="2:22" ht="30" customHeight="1" thickBot="1" x14ac:dyDescent="0.3">
      <c r="B200" s="1240" t="s">
        <v>64</v>
      </c>
      <c r="C200" s="1238" t="s">
        <v>291</v>
      </c>
      <c r="D200" s="555">
        <v>27302170</v>
      </c>
      <c r="E200" s="1236" t="s">
        <v>200</v>
      </c>
      <c r="F200" s="1234" t="s">
        <v>752</v>
      </c>
      <c r="G200" s="1236" t="s">
        <v>190</v>
      </c>
      <c r="H200" s="1312" t="s">
        <v>240</v>
      </c>
      <c r="I200" s="1236">
        <v>1</v>
      </c>
      <c r="J200" s="1207" t="s">
        <v>462</v>
      </c>
      <c r="K200" s="1206" t="s">
        <v>199</v>
      </c>
      <c r="L200" s="1206" t="s">
        <v>199</v>
      </c>
      <c r="M200" s="542" t="s">
        <v>122</v>
      </c>
      <c r="N200" s="1248"/>
      <c r="O200" s="551">
        <f>O201+O202</f>
        <v>0</v>
      </c>
      <c r="P200" s="551">
        <f>P201+P202</f>
        <v>0</v>
      </c>
      <c r="Q200" s="552">
        <f>Q201+Q202</f>
        <v>0</v>
      </c>
      <c r="R200" s="48"/>
      <c r="S200" s="48"/>
      <c r="T200" s="48"/>
      <c r="U200" s="48"/>
      <c r="V200" s="48"/>
    </row>
    <row r="201" spans="2:22" ht="21" customHeight="1" thickBot="1" x14ac:dyDescent="0.3">
      <c r="B201" s="1204"/>
      <c r="C201" s="1192"/>
      <c r="D201" s="555"/>
      <c r="E201" s="1199"/>
      <c r="F201" s="1201"/>
      <c r="G201" s="1199"/>
      <c r="H201" s="1209"/>
      <c r="I201" s="1199"/>
      <c r="J201" s="1199"/>
      <c r="K201" s="1204"/>
      <c r="L201" s="1204"/>
      <c r="M201" s="636" t="s">
        <v>123</v>
      </c>
      <c r="N201" s="1249"/>
      <c r="O201" s="561">
        <v>0</v>
      </c>
      <c r="P201" s="562">
        <v>0</v>
      </c>
      <c r="Q201" s="550">
        <v>0</v>
      </c>
      <c r="R201" s="48"/>
      <c r="S201" s="48"/>
      <c r="T201" s="48"/>
      <c r="U201" s="48"/>
      <c r="V201" s="48"/>
    </row>
    <row r="202" spans="2:22" ht="23.25" customHeight="1" thickBot="1" x14ac:dyDescent="0.3">
      <c r="B202" s="1204"/>
      <c r="C202" s="1192"/>
      <c r="D202" s="555"/>
      <c r="E202" s="1199"/>
      <c r="F202" s="1201"/>
      <c r="G202" s="1199"/>
      <c r="H202" s="1209"/>
      <c r="I202" s="1199"/>
      <c r="J202" s="1199"/>
      <c r="K202" s="1204"/>
      <c r="L202" s="1204"/>
      <c r="M202" s="672" t="s">
        <v>124</v>
      </c>
      <c r="N202" s="1250"/>
      <c r="O202" s="551">
        <v>0</v>
      </c>
      <c r="P202" s="552">
        <v>0</v>
      </c>
      <c r="Q202" s="549">
        <v>0</v>
      </c>
      <c r="R202" s="48"/>
      <c r="S202" s="48"/>
      <c r="T202" s="48"/>
      <c r="U202" s="48"/>
      <c r="V202" s="48"/>
    </row>
    <row r="203" spans="2:22" ht="21.75" customHeight="1" thickBot="1" x14ac:dyDescent="0.3">
      <c r="B203" s="1241"/>
      <c r="C203" s="1239"/>
      <c r="D203" s="555"/>
      <c r="E203" s="1237"/>
      <c r="F203" s="1235"/>
      <c r="G203" s="1237"/>
      <c r="H203" s="1291"/>
      <c r="I203" s="1237"/>
      <c r="J203" s="1208"/>
      <c r="K203" s="1204"/>
      <c r="L203" s="1204"/>
      <c r="M203" s="547" t="s">
        <v>745</v>
      </c>
      <c r="N203" s="681"/>
      <c r="O203" s="557">
        <v>100</v>
      </c>
      <c r="P203" s="676">
        <v>0</v>
      </c>
      <c r="Q203" s="563">
        <v>0</v>
      </c>
      <c r="R203" s="48"/>
      <c r="S203" s="48"/>
      <c r="T203" s="48"/>
      <c r="U203" s="48"/>
      <c r="V203" s="48"/>
    </row>
    <row r="204" spans="2:22" ht="24.75" customHeight="1" thickBot="1" x14ac:dyDescent="0.3">
      <c r="B204" s="1240" t="s">
        <v>64</v>
      </c>
      <c r="C204" s="1238" t="s">
        <v>291</v>
      </c>
      <c r="D204" s="555">
        <v>27302170</v>
      </c>
      <c r="E204" s="1236" t="s">
        <v>200</v>
      </c>
      <c r="F204" s="1234" t="s">
        <v>848</v>
      </c>
      <c r="G204" s="1236" t="s">
        <v>190</v>
      </c>
      <c r="H204" s="1312" t="s">
        <v>240</v>
      </c>
      <c r="I204" s="1236">
        <v>1</v>
      </c>
      <c r="J204" s="1207" t="s">
        <v>462</v>
      </c>
      <c r="K204" s="1206" t="s">
        <v>199</v>
      </c>
      <c r="L204" s="1206" t="s">
        <v>199</v>
      </c>
      <c r="M204" s="542" t="s">
        <v>122</v>
      </c>
      <c r="N204" s="1248"/>
      <c r="O204" s="551">
        <f>O205+O206</f>
        <v>0</v>
      </c>
      <c r="P204" s="551">
        <f>P205+P206</f>
        <v>0</v>
      </c>
      <c r="Q204" s="552">
        <f>Q205+Q206</f>
        <v>0</v>
      </c>
      <c r="R204" s="48"/>
      <c r="S204" s="48"/>
      <c r="T204" s="48"/>
      <c r="U204" s="48"/>
      <c r="V204" s="48"/>
    </row>
    <row r="205" spans="2:22" ht="25.5" customHeight="1" thickBot="1" x14ac:dyDescent="0.3">
      <c r="B205" s="1204"/>
      <c r="C205" s="1192"/>
      <c r="D205" s="555"/>
      <c r="E205" s="1199"/>
      <c r="F205" s="1201"/>
      <c r="G205" s="1199"/>
      <c r="H205" s="1209"/>
      <c r="I205" s="1199"/>
      <c r="J205" s="1199"/>
      <c r="K205" s="1204"/>
      <c r="L205" s="1204"/>
      <c r="M205" s="636" t="s">
        <v>123</v>
      </c>
      <c r="N205" s="1249"/>
      <c r="O205" s="561">
        <v>0</v>
      </c>
      <c r="P205" s="562">
        <v>0</v>
      </c>
      <c r="Q205" s="550">
        <v>0</v>
      </c>
      <c r="R205" s="48"/>
      <c r="S205" s="48"/>
      <c r="T205" s="48"/>
      <c r="U205" s="48"/>
      <c r="V205" s="48"/>
    </row>
    <row r="206" spans="2:22" ht="27" customHeight="1" thickBot="1" x14ac:dyDescent="0.3">
      <c r="B206" s="1204"/>
      <c r="C206" s="1192"/>
      <c r="D206" s="555"/>
      <c r="E206" s="1199"/>
      <c r="F206" s="1201"/>
      <c r="G206" s="1199"/>
      <c r="H206" s="1209"/>
      <c r="I206" s="1199"/>
      <c r="J206" s="1199"/>
      <c r="K206" s="1204"/>
      <c r="L206" s="1204"/>
      <c r="M206" s="672" t="s">
        <v>124</v>
      </c>
      <c r="N206" s="1250"/>
      <c r="O206" s="551">
        <v>0</v>
      </c>
      <c r="P206" s="552">
        <v>0</v>
      </c>
      <c r="Q206" s="549">
        <v>0</v>
      </c>
      <c r="R206" s="48"/>
      <c r="S206" s="48"/>
      <c r="T206" s="48"/>
      <c r="U206" s="48"/>
      <c r="V206" s="48"/>
    </row>
    <row r="207" spans="2:22" ht="20.25" customHeight="1" thickBot="1" x14ac:dyDescent="0.3">
      <c r="B207" s="1241"/>
      <c r="C207" s="1239"/>
      <c r="D207" s="555"/>
      <c r="E207" s="1237"/>
      <c r="F207" s="1235"/>
      <c r="G207" s="1237"/>
      <c r="H207" s="1291"/>
      <c r="I207" s="1237"/>
      <c r="J207" s="1208"/>
      <c r="K207" s="1204"/>
      <c r="L207" s="1204"/>
      <c r="M207" s="547" t="s">
        <v>745</v>
      </c>
      <c r="N207" s="681"/>
      <c r="O207" s="557">
        <v>3400</v>
      </c>
      <c r="P207" s="676">
        <v>0</v>
      </c>
      <c r="Q207" s="563">
        <v>0</v>
      </c>
      <c r="R207" s="48"/>
      <c r="S207" s="48"/>
      <c r="T207" s="48"/>
      <c r="U207" s="48"/>
      <c r="V207" s="48"/>
    </row>
    <row r="208" spans="2:22" ht="24.75" customHeight="1" thickBot="1" x14ac:dyDescent="0.3">
      <c r="B208" s="1240" t="s">
        <v>64</v>
      </c>
      <c r="C208" s="1238" t="s">
        <v>291</v>
      </c>
      <c r="D208" s="555">
        <v>27302170</v>
      </c>
      <c r="E208" s="1236" t="s">
        <v>200</v>
      </c>
      <c r="F208" s="1234" t="s">
        <v>840</v>
      </c>
      <c r="G208" s="1236" t="s">
        <v>841</v>
      </c>
      <c r="H208" s="1312" t="s">
        <v>240</v>
      </c>
      <c r="I208" s="1236">
        <v>1</v>
      </c>
      <c r="J208" s="1207" t="s">
        <v>462</v>
      </c>
      <c r="K208" s="1206" t="s">
        <v>199</v>
      </c>
      <c r="L208" s="1206" t="s">
        <v>199</v>
      </c>
      <c r="M208" s="542" t="s">
        <v>122</v>
      </c>
      <c r="N208" s="1248"/>
      <c r="O208" s="551">
        <f>O209+O210</f>
        <v>0</v>
      </c>
      <c r="P208" s="551">
        <f>P209+P210</f>
        <v>0</v>
      </c>
      <c r="Q208" s="552">
        <f>Q209+Q210</f>
        <v>0</v>
      </c>
      <c r="R208" s="48"/>
      <c r="S208" s="48"/>
      <c r="T208" s="48"/>
      <c r="U208" s="48"/>
      <c r="V208" s="48"/>
    </row>
    <row r="209" spans="2:22" ht="24.75" customHeight="1" thickBot="1" x14ac:dyDescent="0.3">
      <c r="B209" s="1204"/>
      <c r="C209" s="1192"/>
      <c r="D209" s="555"/>
      <c r="E209" s="1199"/>
      <c r="F209" s="1201"/>
      <c r="G209" s="1199"/>
      <c r="H209" s="1209"/>
      <c r="I209" s="1199"/>
      <c r="J209" s="1199"/>
      <c r="K209" s="1204"/>
      <c r="L209" s="1204"/>
      <c r="M209" s="636" t="s">
        <v>123</v>
      </c>
      <c r="N209" s="1249"/>
      <c r="O209" s="561">
        <v>0</v>
      </c>
      <c r="P209" s="562">
        <v>0</v>
      </c>
      <c r="Q209" s="550">
        <v>0</v>
      </c>
      <c r="R209" s="48"/>
      <c r="S209" s="48"/>
      <c r="T209" s="48"/>
      <c r="U209" s="48"/>
      <c r="V209" s="48"/>
    </row>
    <row r="210" spans="2:22" ht="24.75" customHeight="1" thickBot="1" x14ac:dyDescent="0.3">
      <c r="B210" s="1204"/>
      <c r="C210" s="1192"/>
      <c r="D210" s="555"/>
      <c r="E210" s="1199"/>
      <c r="F210" s="1201"/>
      <c r="G210" s="1199"/>
      <c r="H210" s="1209"/>
      <c r="I210" s="1199"/>
      <c r="J210" s="1199"/>
      <c r="K210" s="1204"/>
      <c r="L210" s="1204"/>
      <c r="M210" s="672" t="s">
        <v>124</v>
      </c>
      <c r="N210" s="1250"/>
      <c r="O210" s="551">
        <v>0</v>
      </c>
      <c r="P210" s="552">
        <v>0</v>
      </c>
      <c r="Q210" s="549">
        <v>0</v>
      </c>
      <c r="R210" s="48"/>
      <c r="S210" s="48"/>
      <c r="T210" s="48"/>
      <c r="U210" s="48"/>
      <c r="V210" s="48"/>
    </row>
    <row r="211" spans="2:22" ht="30" customHeight="1" thickBot="1" x14ac:dyDescent="0.3">
      <c r="B211" s="1241"/>
      <c r="C211" s="1239"/>
      <c r="D211" s="555"/>
      <c r="E211" s="1237"/>
      <c r="F211" s="1235"/>
      <c r="G211" s="1237"/>
      <c r="H211" s="1291"/>
      <c r="I211" s="1237"/>
      <c r="J211" s="1208"/>
      <c r="K211" s="1204"/>
      <c r="L211" s="1204"/>
      <c r="M211" s="547" t="s">
        <v>745</v>
      </c>
      <c r="N211" s="681"/>
      <c r="O211" s="557">
        <v>2436.3980000000001</v>
      </c>
      <c r="P211" s="676">
        <v>0</v>
      </c>
      <c r="Q211" s="563">
        <v>0</v>
      </c>
      <c r="R211" s="48"/>
      <c r="S211" s="48"/>
      <c r="T211" s="48"/>
      <c r="U211" s="48"/>
      <c r="V211" s="48"/>
    </row>
    <row r="212" spans="2:22" s="48" customFormat="1" ht="30" customHeight="1" thickBot="1" x14ac:dyDescent="0.3">
      <c r="B212" s="1240" t="s">
        <v>64</v>
      </c>
      <c r="C212" s="1238" t="s">
        <v>291</v>
      </c>
      <c r="D212" s="555">
        <v>27302170</v>
      </c>
      <c r="E212" s="1236" t="s">
        <v>200</v>
      </c>
      <c r="F212" s="1234" t="s">
        <v>750</v>
      </c>
      <c r="G212" s="1236" t="s">
        <v>190</v>
      </c>
      <c r="H212" s="1312" t="s">
        <v>240</v>
      </c>
      <c r="I212" s="1236">
        <v>1</v>
      </c>
      <c r="J212" s="1207" t="s">
        <v>462</v>
      </c>
      <c r="K212" s="1206" t="s">
        <v>199</v>
      </c>
      <c r="L212" s="1206" t="s">
        <v>199</v>
      </c>
      <c r="M212" s="542" t="s">
        <v>122</v>
      </c>
      <c r="N212" s="1248"/>
      <c r="O212" s="551">
        <f>O213+O214</f>
        <v>0</v>
      </c>
      <c r="P212" s="551">
        <f>P213+P214</f>
        <v>0</v>
      </c>
      <c r="Q212" s="552">
        <f>Q213+Q214</f>
        <v>0</v>
      </c>
    </row>
    <row r="213" spans="2:22" s="48" customFormat="1" ht="30" customHeight="1" thickBot="1" x14ac:dyDescent="0.3">
      <c r="B213" s="1204"/>
      <c r="C213" s="1192"/>
      <c r="D213" s="555"/>
      <c r="E213" s="1199"/>
      <c r="F213" s="1201"/>
      <c r="G213" s="1199"/>
      <c r="H213" s="1209"/>
      <c r="I213" s="1199"/>
      <c r="J213" s="1199"/>
      <c r="K213" s="1204"/>
      <c r="L213" s="1204"/>
      <c r="M213" s="636" t="s">
        <v>123</v>
      </c>
      <c r="N213" s="1249"/>
      <c r="O213" s="561">
        <v>0</v>
      </c>
      <c r="P213" s="562">
        <v>0</v>
      </c>
      <c r="Q213" s="550">
        <v>0</v>
      </c>
    </row>
    <row r="214" spans="2:22" s="48" customFormat="1" ht="27" customHeight="1" thickBot="1" x14ac:dyDescent="0.3">
      <c r="B214" s="1204"/>
      <c r="C214" s="1192"/>
      <c r="D214" s="555"/>
      <c r="E214" s="1199"/>
      <c r="F214" s="1201"/>
      <c r="G214" s="1199"/>
      <c r="H214" s="1209"/>
      <c r="I214" s="1199"/>
      <c r="J214" s="1199"/>
      <c r="K214" s="1204"/>
      <c r="L214" s="1204"/>
      <c r="M214" s="672" t="s">
        <v>124</v>
      </c>
      <c r="N214" s="1250"/>
      <c r="O214" s="551">
        <v>0</v>
      </c>
      <c r="P214" s="552">
        <v>0</v>
      </c>
      <c r="Q214" s="549">
        <v>0</v>
      </c>
    </row>
    <row r="215" spans="2:22" s="48" customFormat="1" ht="23.25" customHeight="1" thickBot="1" x14ac:dyDescent="0.3">
      <c r="B215" s="1241"/>
      <c r="C215" s="1239"/>
      <c r="D215" s="555"/>
      <c r="E215" s="1237"/>
      <c r="F215" s="1235"/>
      <c r="G215" s="1237"/>
      <c r="H215" s="1291"/>
      <c r="I215" s="1237"/>
      <c r="J215" s="1208"/>
      <c r="K215" s="1204"/>
      <c r="L215" s="1204"/>
      <c r="M215" s="547" t="s">
        <v>745</v>
      </c>
      <c r="N215" s="681"/>
      <c r="O215" s="557">
        <v>519.34199999999998</v>
      </c>
      <c r="P215" s="676">
        <v>0</v>
      </c>
      <c r="Q215" s="563">
        <v>0</v>
      </c>
    </row>
    <row r="216" spans="2:22" s="48" customFormat="1" ht="81" customHeight="1" thickBot="1" x14ac:dyDescent="0.3">
      <c r="B216" s="1240" t="s">
        <v>64</v>
      </c>
      <c r="C216" s="1238" t="s">
        <v>291</v>
      </c>
      <c r="D216" s="555">
        <v>27302170</v>
      </c>
      <c r="E216" s="1236" t="s">
        <v>204</v>
      </c>
      <c r="F216" s="1234" t="s">
        <v>847</v>
      </c>
      <c r="G216" s="1234" t="s">
        <v>190</v>
      </c>
      <c r="H216" s="1312" t="s">
        <v>240</v>
      </c>
      <c r="I216" s="1236">
        <v>1</v>
      </c>
      <c r="J216" s="1207" t="s">
        <v>462</v>
      </c>
      <c r="K216" s="1206" t="s">
        <v>199</v>
      </c>
      <c r="L216" s="1206" t="s">
        <v>199</v>
      </c>
      <c r="M216" s="542" t="s">
        <v>122</v>
      </c>
      <c r="N216" s="1248"/>
      <c r="O216" s="551">
        <f>O217+O218</f>
        <v>1762.39</v>
      </c>
      <c r="P216" s="551">
        <f>P217+P218</f>
        <v>0</v>
      </c>
      <c r="Q216" s="552">
        <f>Q217+Q218</f>
        <v>0</v>
      </c>
    </row>
    <row r="217" spans="2:22" s="48" customFormat="1" ht="48.75" customHeight="1" thickBot="1" x14ac:dyDescent="0.3">
      <c r="B217" s="1204"/>
      <c r="C217" s="1192"/>
      <c r="D217" s="555"/>
      <c r="E217" s="1199"/>
      <c r="F217" s="1201"/>
      <c r="G217" s="1201"/>
      <c r="H217" s="1209"/>
      <c r="I217" s="1199"/>
      <c r="J217" s="1199"/>
      <c r="K217" s="1204"/>
      <c r="L217" s="1204"/>
      <c r="M217" s="636" t="s">
        <v>123</v>
      </c>
      <c r="N217" s="1249"/>
      <c r="O217" s="561">
        <v>0</v>
      </c>
      <c r="P217" s="562">
        <v>0</v>
      </c>
      <c r="Q217" s="550">
        <v>0</v>
      </c>
    </row>
    <row r="218" spans="2:22" ht="30" customHeight="1" thickBot="1" x14ac:dyDescent="0.3">
      <c r="B218" s="1204"/>
      <c r="C218" s="1192"/>
      <c r="D218" s="555"/>
      <c r="E218" s="1199"/>
      <c r="F218" s="1201"/>
      <c r="G218" s="1201"/>
      <c r="H218" s="1209"/>
      <c r="I218" s="1199"/>
      <c r="J218" s="1199"/>
      <c r="K218" s="1204"/>
      <c r="L218" s="1204"/>
      <c r="M218" s="672" t="s">
        <v>124</v>
      </c>
      <c r="N218" s="1250"/>
      <c r="O218" s="551">
        <f>1784-21.61</f>
        <v>1762.39</v>
      </c>
      <c r="P218" s="552">
        <v>0</v>
      </c>
      <c r="Q218" s="549">
        <v>0</v>
      </c>
      <c r="R218" s="48">
        <v>1762.39</v>
      </c>
      <c r="S218" s="686">
        <f>O218-R218</f>
        <v>0</v>
      </c>
      <c r="T218" s="48"/>
      <c r="U218" s="48"/>
      <c r="V218" s="48"/>
    </row>
    <row r="219" spans="2:22" ht="30" customHeight="1" thickBot="1" x14ac:dyDescent="0.3">
      <c r="B219" s="1241"/>
      <c r="C219" s="1239"/>
      <c r="D219" s="555"/>
      <c r="E219" s="1237"/>
      <c r="F219" s="1235"/>
      <c r="G219" s="1235"/>
      <c r="H219" s="1291"/>
      <c r="I219" s="1237"/>
      <c r="J219" s="1208"/>
      <c r="K219" s="1204"/>
      <c r="L219" s="1204"/>
      <c r="M219" s="547" t="s">
        <v>745</v>
      </c>
      <c r="N219" s="681"/>
      <c r="O219" s="557">
        <v>7719</v>
      </c>
      <c r="P219" s="676">
        <v>0</v>
      </c>
      <c r="Q219" s="563">
        <v>0</v>
      </c>
      <c r="R219" s="48"/>
      <c r="S219" s="48"/>
      <c r="T219" s="48"/>
      <c r="U219" s="48"/>
      <c r="V219" s="48"/>
    </row>
    <row r="220" spans="2:22" ht="46.5" customHeight="1" thickBot="1" x14ac:dyDescent="0.3">
      <c r="B220" s="1240" t="s">
        <v>64</v>
      </c>
      <c r="C220" s="1238" t="s">
        <v>291</v>
      </c>
      <c r="D220" s="555">
        <v>27302170</v>
      </c>
      <c r="E220" s="1236" t="s">
        <v>204</v>
      </c>
      <c r="F220" s="1234" t="s">
        <v>842</v>
      </c>
      <c r="G220" s="1234" t="s">
        <v>190</v>
      </c>
      <c r="H220" s="1312" t="s">
        <v>240</v>
      </c>
      <c r="I220" s="1236">
        <v>1</v>
      </c>
      <c r="J220" s="1207" t="s">
        <v>462</v>
      </c>
      <c r="K220" s="1206" t="s">
        <v>199</v>
      </c>
      <c r="L220" s="1206" t="s">
        <v>199</v>
      </c>
      <c r="M220" s="542" t="s">
        <v>122</v>
      </c>
      <c r="N220" s="1248"/>
      <c r="O220" s="551">
        <f>O221+O222</f>
        <v>0</v>
      </c>
      <c r="P220" s="551">
        <f>P221+P222</f>
        <v>0</v>
      </c>
      <c r="Q220" s="552">
        <f>Q221+Q222</f>
        <v>0</v>
      </c>
      <c r="R220" s="48"/>
      <c r="S220" s="48"/>
      <c r="T220" s="48"/>
      <c r="U220" s="48"/>
      <c r="V220" s="48"/>
    </row>
    <row r="221" spans="2:22" ht="24.75" customHeight="1" thickBot="1" x14ac:dyDescent="0.3">
      <c r="B221" s="1204"/>
      <c r="C221" s="1192"/>
      <c r="D221" s="555"/>
      <c r="E221" s="1199"/>
      <c r="F221" s="1201"/>
      <c r="G221" s="1201"/>
      <c r="H221" s="1209"/>
      <c r="I221" s="1199"/>
      <c r="J221" s="1199"/>
      <c r="K221" s="1204"/>
      <c r="L221" s="1204"/>
      <c r="M221" s="636" t="s">
        <v>123</v>
      </c>
      <c r="N221" s="1249"/>
      <c r="O221" s="561">
        <v>0</v>
      </c>
      <c r="P221" s="562">
        <v>0</v>
      </c>
      <c r="Q221" s="550">
        <v>0</v>
      </c>
      <c r="R221" s="48"/>
      <c r="S221" s="48"/>
      <c r="T221" s="48"/>
      <c r="U221" s="48"/>
      <c r="V221" s="48"/>
    </row>
    <row r="222" spans="2:22" ht="23.25" customHeight="1" thickBot="1" x14ac:dyDescent="0.3">
      <c r="B222" s="1204"/>
      <c r="C222" s="1192"/>
      <c r="D222" s="555"/>
      <c r="E222" s="1199"/>
      <c r="F222" s="1201"/>
      <c r="G222" s="1201"/>
      <c r="H222" s="1209"/>
      <c r="I222" s="1199"/>
      <c r="J222" s="1199"/>
      <c r="K222" s="1204"/>
      <c r="L222" s="1204"/>
      <c r="M222" s="672" t="s">
        <v>124</v>
      </c>
      <c r="N222" s="1250"/>
      <c r="O222" s="551">
        <v>0</v>
      </c>
      <c r="P222" s="552">
        <v>0</v>
      </c>
      <c r="Q222" s="549">
        <v>0</v>
      </c>
      <c r="R222" s="48"/>
      <c r="S222" s="48"/>
      <c r="T222" s="48"/>
      <c r="U222" s="48"/>
      <c r="V222" s="48"/>
    </row>
    <row r="223" spans="2:22" ht="35.25" customHeight="1" thickBot="1" x14ac:dyDescent="0.3">
      <c r="B223" s="1241"/>
      <c r="C223" s="1239"/>
      <c r="D223" s="555"/>
      <c r="E223" s="1237"/>
      <c r="F223" s="1235"/>
      <c r="G223" s="1235"/>
      <c r="H223" s="1291"/>
      <c r="I223" s="1237"/>
      <c r="J223" s="1208"/>
      <c r="K223" s="1204"/>
      <c r="L223" s="1204"/>
      <c r="M223" s="547" t="s">
        <v>745</v>
      </c>
      <c r="N223" s="681"/>
      <c r="O223" s="557">
        <v>29.737179999999999</v>
      </c>
      <c r="P223" s="676">
        <v>0</v>
      </c>
      <c r="Q223" s="563">
        <v>0</v>
      </c>
      <c r="R223" s="48"/>
      <c r="S223" s="48"/>
      <c r="T223" s="48"/>
      <c r="U223" s="48"/>
      <c r="V223" s="48"/>
    </row>
    <row r="224" spans="2:22" ht="79.5" customHeight="1" thickBot="1" x14ac:dyDescent="0.3">
      <c r="B224" s="1240" t="s">
        <v>64</v>
      </c>
      <c r="C224" s="1238" t="s">
        <v>291</v>
      </c>
      <c r="D224" s="555">
        <v>27302170</v>
      </c>
      <c r="E224" s="1236" t="s">
        <v>204</v>
      </c>
      <c r="F224" s="1234" t="s">
        <v>843</v>
      </c>
      <c r="G224" s="1234" t="s">
        <v>844</v>
      </c>
      <c r="H224" s="1312" t="s">
        <v>240</v>
      </c>
      <c r="I224" s="1236">
        <v>1</v>
      </c>
      <c r="J224" s="1207" t="s">
        <v>462</v>
      </c>
      <c r="K224" s="1206" t="s">
        <v>199</v>
      </c>
      <c r="L224" s="1206" t="s">
        <v>199</v>
      </c>
      <c r="M224" s="542" t="s">
        <v>122</v>
      </c>
      <c r="N224" s="1248"/>
      <c r="O224" s="551">
        <f>O225+O226</f>
        <v>1400</v>
      </c>
      <c r="P224" s="551">
        <f>P225+P226</f>
        <v>0</v>
      </c>
      <c r="Q224" s="552">
        <f>Q225+Q226</f>
        <v>0</v>
      </c>
      <c r="R224" s="48"/>
      <c r="S224" s="48"/>
      <c r="T224" s="48"/>
      <c r="U224" s="48"/>
      <c r="V224" s="48"/>
    </row>
    <row r="225" spans="2:22" ht="27.75" customHeight="1" thickBot="1" x14ac:dyDescent="0.3">
      <c r="B225" s="1204"/>
      <c r="C225" s="1192"/>
      <c r="D225" s="555"/>
      <c r="E225" s="1199"/>
      <c r="F225" s="1201"/>
      <c r="G225" s="1201"/>
      <c r="H225" s="1209"/>
      <c r="I225" s="1199"/>
      <c r="J225" s="1199"/>
      <c r="K225" s="1204"/>
      <c r="L225" s="1204"/>
      <c r="M225" s="636" t="s">
        <v>123</v>
      </c>
      <c r="N225" s="1249"/>
      <c r="O225" s="561">
        <v>0</v>
      </c>
      <c r="P225" s="562">
        <v>0</v>
      </c>
      <c r="Q225" s="550">
        <v>0</v>
      </c>
      <c r="R225" s="48"/>
      <c r="S225" s="48"/>
      <c r="T225" s="48"/>
      <c r="U225" s="48"/>
      <c r="V225" s="48"/>
    </row>
    <row r="226" spans="2:22" ht="16.5" thickBot="1" x14ac:dyDescent="0.3">
      <c r="B226" s="1204"/>
      <c r="C226" s="1192"/>
      <c r="D226" s="555"/>
      <c r="E226" s="1199"/>
      <c r="F226" s="1201"/>
      <c r="G226" s="1201"/>
      <c r="H226" s="1209"/>
      <c r="I226" s="1199"/>
      <c r="J226" s="1199"/>
      <c r="K226" s="1204"/>
      <c r="L226" s="1204"/>
      <c r="M226" s="672" t="s">
        <v>124</v>
      </c>
      <c r="N226" s="1250"/>
      <c r="O226" s="551">
        <v>1400</v>
      </c>
      <c r="P226" s="552">
        <v>0</v>
      </c>
      <c r="Q226" s="549">
        <v>0</v>
      </c>
      <c r="R226" s="48"/>
      <c r="S226" s="48"/>
      <c r="T226" s="48"/>
      <c r="U226" s="48"/>
      <c r="V226" s="48"/>
    </row>
    <row r="227" spans="2:22" ht="16.5" thickBot="1" x14ac:dyDescent="0.3">
      <c r="B227" s="1241"/>
      <c r="C227" s="1239"/>
      <c r="D227" s="555"/>
      <c r="E227" s="1237"/>
      <c r="F227" s="1235"/>
      <c r="G227" s="1235"/>
      <c r="H227" s="1291"/>
      <c r="I227" s="1237"/>
      <c r="J227" s="1208"/>
      <c r="K227" s="1204"/>
      <c r="L227" s="1204"/>
      <c r="M227" s="547" t="s">
        <v>745</v>
      </c>
      <c r="N227" s="681"/>
      <c r="O227" s="557">
        <v>0</v>
      </c>
      <c r="P227" s="676">
        <v>0</v>
      </c>
      <c r="Q227" s="563">
        <v>0</v>
      </c>
      <c r="R227" s="48"/>
      <c r="S227" s="48"/>
      <c r="T227" s="48"/>
      <c r="U227" s="48"/>
      <c r="V227" s="48"/>
    </row>
    <row r="228" spans="2:22" ht="27.75" customHeight="1" thickBot="1" x14ac:dyDescent="0.3">
      <c r="B228" s="1240" t="s">
        <v>64</v>
      </c>
      <c r="C228" s="1238" t="s">
        <v>291</v>
      </c>
      <c r="D228" s="555">
        <v>27302170</v>
      </c>
      <c r="E228" s="1236" t="s">
        <v>628</v>
      </c>
      <c r="F228" s="1234" t="s">
        <v>824</v>
      </c>
      <c r="G228" s="1236" t="s">
        <v>823</v>
      </c>
      <c r="H228" s="1312" t="s">
        <v>240</v>
      </c>
      <c r="I228" s="1236">
        <v>1</v>
      </c>
      <c r="J228" s="1207" t="s">
        <v>462</v>
      </c>
      <c r="K228" s="1206" t="s">
        <v>199</v>
      </c>
      <c r="L228" s="1206" t="s">
        <v>199</v>
      </c>
      <c r="M228" s="542" t="s">
        <v>122</v>
      </c>
      <c r="N228" s="1248"/>
      <c r="O228" s="551">
        <f>O229+O230</f>
        <v>350</v>
      </c>
      <c r="P228" s="551">
        <f>P229+P230</f>
        <v>0</v>
      </c>
      <c r="Q228" s="552">
        <f>Q229+Q230</f>
        <v>0</v>
      </c>
      <c r="R228" s="48"/>
      <c r="S228" s="48"/>
      <c r="T228" s="48"/>
      <c r="U228" s="48"/>
      <c r="V228" s="48"/>
    </row>
    <row r="229" spans="2:22" ht="24" customHeight="1" thickBot="1" x14ac:dyDescent="0.3">
      <c r="B229" s="1204"/>
      <c r="C229" s="1192"/>
      <c r="D229" s="555"/>
      <c r="E229" s="1199"/>
      <c r="F229" s="1201"/>
      <c r="G229" s="1199"/>
      <c r="H229" s="1209"/>
      <c r="I229" s="1199"/>
      <c r="J229" s="1199"/>
      <c r="K229" s="1204"/>
      <c r="L229" s="1204"/>
      <c r="M229" s="636" t="s">
        <v>123</v>
      </c>
      <c r="N229" s="1249"/>
      <c r="O229" s="561">
        <v>0</v>
      </c>
      <c r="P229" s="562">
        <v>0</v>
      </c>
      <c r="Q229" s="550">
        <v>0</v>
      </c>
      <c r="R229" s="48"/>
      <c r="S229" s="48"/>
      <c r="T229" s="48"/>
      <c r="U229" s="48"/>
      <c r="V229" s="48"/>
    </row>
    <row r="230" spans="2:22" ht="27" customHeight="1" thickBot="1" x14ac:dyDescent="0.3">
      <c r="B230" s="1204"/>
      <c r="C230" s="1192"/>
      <c r="D230" s="555"/>
      <c r="E230" s="1199"/>
      <c r="F230" s="1201"/>
      <c r="G230" s="1199"/>
      <c r="H230" s="1209"/>
      <c r="I230" s="1199"/>
      <c r="J230" s="1199"/>
      <c r="K230" s="1204"/>
      <c r="L230" s="1204"/>
      <c r="M230" s="672" t="s">
        <v>124</v>
      </c>
      <c r="N230" s="1250"/>
      <c r="O230" s="551">
        <v>350</v>
      </c>
      <c r="P230" s="552">
        <v>0</v>
      </c>
      <c r="Q230" s="549">
        <v>0</v>
      </c>
      <c r="R230" s="48"/>
      <c r="S230" s="48"/>
      <c r="T230" s="48"/>
      <c r="U230" s="48"/>
      <c r="V230" s="48"/>
    </row>
    <row r="231" spans="2:22" ht="26.25" customHeight="1" thickBot="1" x14ac:dyDescent="0.3">
      <c r="B231" s="1241"/>
      <c r="C231" s="1239"/>
      <c r="D231" s="555"/>
      <c r="E231" s="1237"/>
      <c r="F231" s="1235"/>
      <c r="G231" s="1237"/>
      <c r="H231" s="1291"/>
      <c r="I231" s="1237"/>
      <c r="J231" s="1208"/>
      <c r="K231" s="1204"/>
      <c r="L231" s="1204"/>
      <c r="M231" s="547" t="s">
        <v>745</v>
      </c>
      <c r="N231" s="681"/>
      <c r="O231" s="557">
        <v>0</v>
      </c>
      <c r="P231" s="676">
        <v>0</v>
      </c>
      <c r="Q231" s="563">
        <v>0</v>
      </c>
      <c r="R231" s="48"/>
      <c r="S231" s="48"/>
      <c r="T231" s="48"/>
      <c r="U231" s="48"/>
      <c r="V231" s="48"/>
    </row>
    <row r="232" spans="2:22" ht="23.25" customHeight="1" thickBot="1" x14ac:dyDescent="0.3">
      <c r="B232" s="1240" t="s">
        <v>64</v>
      </c>
      <c r="C232" s="1238" t="s">
        <v>291</v>
      </c>
      <c r="D232" s="555">
        <v>27302170</v>
      </c>
      <c r="E232" s="1236" t="s">
        <v>575</v>
      </c>
      <c r="F232" s="1234" t="s">
        <v>822</v>
      </c>
      <c r="G232" s="1234" t="s">
        <v>435</v>
      </c>
      <c r="H232" s="1312" t="s">
        <v>240</v>
      </c>
      <c r="I232" s="1236" t="s">
        <v>263</v>
      </c>
      <c r="J232" s="1207" t="s">
        <v>462</v>
      </c>
      <c r="K232" s="1206" t="s">
        <v>199</v>
      </c>
      <c r="L232" s="1206" t="s">
        <v>199</v>
      </c>
      <c r="M232" s="542" t="s">
        <v>122</v>
      </c>
      <c r="N232" s="1248"/>
      <c r="O232" s="551">
        <f>O233+O234</f>
        <v>0</v>
      </c>
      <c r="P232" s="551">
        <f>P233+P234</f>
        <v>0</v>
      </c>
      <c r="Q232" s="552">
        <f>Q233+Q234</f>
        <v>0</v>
      </c>
      <c r="R232" s="48"/>
      <c r="S232" s="48"/>
      <c r="T232" s="48"/>
      <c r="U232" s="48"/>
      <c r="V232" s="48"/>
    </row>
    <row r="233" spans="2:22" ht="21.75" customHeight="1" thickBot="1" x14ac:dyDescent="0.3">
      <c r="B233" s="1204"/>
      <c r="C233" s="1192"/>
      <c r="D233" s="555"/>
      <c r="E233" s="1199"/>
      <c r="F233" s="1201"/>
      <c r="G233" s="1201"/>
      <c r="H233" s="1209"/>
      <c r="I233" s="1199"/>
      <c r="J233" s="1199"/>
      <c r="K233" s="1204"/>
      <c r="L233" s="1204"/>
      <c r="M233" s="636" t="s">
        <v>123</v>
      </c>
      <c r="N233" s="1249"/>
      <c r="O233" s="561">
        <v>0</v>
      </c>
      <c r="P233" s="562">
        <v>0</v>
      </c>
      <c r="Q233" s="550">
        <v>0</v>
      </c>
      <c r="R233" s="48"/>
      <c r="S233" s="48"/>
      <c r="T233" s="48"/>
      <c r="U233" s="48"/>
      <c r="V233" s="48"/>
    </row>
    <row r="234" spans="2:22" ht="21" customHeight="1" thickBot="1" x14ac:dyDescent="0.3">
      <c r="B234" s="1204"/>
      <c r="C234" s="1192"/>
      <c r="D234" s="555"/>
      <c r="E234" s="1199"/>
      <c r="F234" s="1201"/>
      <c r="G234" s="1201"/>
      <c r="H234" s="1209"/>
      <c r="I234" s="1199"/>
      <c r="J234" s="1199"/>
      <c r="K234" s="1204"/>
      <c r="L234" s="1204"/>
      <c r="M234" s="672" t="s">
        <v>124</v>
      </c>
      <c r="N234" s="1250"/>
      <c r="O234" s="551">
        <v>0</v>
      </c>
      <c r="P234" s="552">
        <v>0</v>
      </c>
      <c r="Q234" s="549">
        <v>0</v>
      </c>
      <c r="R234" s="48"/>
      <c r="S234" s="48"/>
      <c r="T234" s="48"/>
      <c r="U234" s="48"/>
      <c r="V234" s="48"/>
    </row>
    <row r="235" spans="2:22" ht="21" customHeight="1" thickBot="1" x14ac:dyDescent="0.3">
      <c r="B235" s="1241"/>
      <c r="C235" s="1239"/>
      <c r="D235" s="555"/>
      <c r="E235" s="1237"/>
      <c r="F235" s="1235"/>
      <c r="G235" s="1235"/>
      <c r="H235" s="1291"/>
      <c r="I235" s="1237"/>
      <c r="J235" s="1208"/>
      <c r="K235" s="1204"/>
      <c r="L235" s="1204"/>
      <c r="M235" s="547" t="s">
        <v>745</v>
      </c>
      <c r="N235" s="681"/>
      <c r="O235" s="557">
        <v>810</v>
      </c>
      <c r="P235" s="676">
        <v>0</v>
      </c>
      <c r="Q235" s="563">
        <v>0</v>
      </c>
      <c r="R235" s="48"/>
      <c r="S235" s="48"/>
      <c r="T235" s="48"/>
      <c r="U235" s="48"/>
      <c r="V235" s="48"/>
    </row>
    <row r="236" spans="2:22" ht="24.75" customHeight="1" thickBot="1" x14ac:dyDescent="0.3">
      <c r="B236" s="1240" t="s">
        <v>64</v>
      </c>
      <c r="C236" s="1238" t="s">
        <v>291</v>
      </c>
      <c r="D236" s="555">
        <v>27302111</v>
      </c>
      <c r="E236" s="1236" t="s">
        <v>504</v>
      </c>
      <c r="F236" s="1234" t="s">
        <v>825</v>
      </c>
      <c r="G236" s="1234" t="s">
        <v>414</v>
      </c>
      <c r="H236" s="1312" t="s">
        <v>240</v>
      </c>
      <c r="I236" s="1236" t="s">
        <v>263</v>
      </c>
      <c r="J236" s="1207" t="s">
        <v>462</v>
      </c>
      <c r="K236" s="1206" t="s">
        <v>199</v>
      </c>
      <c r="L236" s="1206" t="s">
        <v>199</v>
      </c>
      <c r="M236" s="542" t="s">
        <v>122</v>
      </c>
      <c r="N236" s="1248"/>
      <c r="O236" s="551">
        <f>O237+O238</f>
        <v>0</v>
      </c>
      <c r="P236" s="551">
        <f>P237+P238</f>
        <v>0</v>
      </c>
      <c r="Q236" s="552">
        <f>Q237+Q238</f>
        <v>0</v>
      </c>
      <c r="R236" s="48"/>
      <c r="S236" s="48"/>
      <c r="T236" s="48"/>
      <c r="U236" s="48"/>
      <c r="V236" s="48"/>
    </row>
    <row r="237" spans="2:22" ht="24.75" customHeight="1" thickBot="1" x14ac:dyDescent="0.3">
      <c r="B237" s="1204"/>
      <c r="C237" s="1192"/>
      <c r="D237" s="555"/>
      <c r="E237" s="1199"/>
      <c r="F237" s="1201"/>
      <c r="G237" s="1201"/>
      <c r="H237" s="1209"/>
      <c r="I237" s="1199"/>
      <c r="J237" s="1199"/>
      <c r="K237" s="1204"/>
      <c r="L237" s="1204"/>
      <c r="M237" s="636" t="s">
        <v>123</v>
      </c>
      <c r="N237" s="1249"/>
      <c r="O237" s="561">
        <v>0</v>
      </c>
      <c r="P237" s="562">
        <v>0</v>
      </c>
      <c r="Q237" s="550">
        <v>0</v>
      </c>
      <c r="R237" s="48"/>
      <c r="S237" s="48"/>
      <c r="T237" s="48"/>
      <c r="U237" s="48"/>
      <c r="V237" s="48"/>
    </row>
    <row r="238" spans="2:22" ht="22.5" customHeight="1" thickBot="1" x14ac:dyDescent="0.3">
      <c r="B238" s="1204"/>
      <c r="C238" s="1192"/>
      <c r="D238" s="555"/>
      <c r="E238" s="1199"/>
      <c r="F238" s="1201"/>
      <c r="G238" s="1201"/>
      <c r="H238" s="1209"/>
      <c r="I238" s="1199"/>
      <c r="J238" s="1199"/>
      <c r="K238" s="1204"/>
      <c r="L238" s="1204"/>
      <c r="M238" s="672" t="s">
        <v>124</v>
      </c>
      <c r="N238" s="1250"/>
      <c r="O238" s="551">
        <v>0</v>
      </c>
      <c r="P238" s="552">
        <v>0</v>
      </c>
      <c r="Q238" s="549">
        <v>0</v>
      </c>
      <c r="R238" s="48"/>
      <c r="S238" s="48"/>
      <c r="T238" s="48"/>
      <c r="U238" s="48"/>
      <c r="V238" s="48"/>
    </row>
    <row r="239" spans="2:22" ht="22.5" customHeight="1" thickBot="1" x14ac:dyDescent="0.3">
      <c r="B239" s="1241"/>
      <c r="C239" s="1239"/>
      <c r="D239" s="555"/>
      <c r="E239" s="1237"/>
      <c r="F239" s="1235"/>
      <c r="G239" s="1235"/>
      <c r="H239" s="1291"/>
      <c r="I239" s="1237"/>
      <c r="J239" s="1208"/>
      <c r="K239" s="1204"/>
      <c r="L239" s="1204"/>
      <c r="M239" s="547" t="s">
        <v>745</v>
      </c>
      <c r="N239" s="681"/>
      <c r="O239" s="557">
        <v>774.29854999999998</v>
      </c>
      <c r="P239" s="676">
        <v>0</v>
      </c>
      <c r="Q239" s="563">
        <v>0</v>
      </c>
      <c r="R239" s="48"/>
      <c r="S239" s="48"/>
      <c r="T239" s="48"/>
      <c r="U239" s="48"/>
      <c r="V239" s="48"/>
    </row>
    <row r="240" spans="2:22" ht="27.75" customHeight="1" thickBot="1" x14ac:dyDescent="0.3">
      <c r="B240" s="1240" t="s">
        <v>64</v>
      </c>
      <c r="C240" s="1238" t="s">
        <v>291</v>
      </c>
      <c r="D240" s="555">
        <v>27302111</v>
      </c>
      <c r="E240" s="1236" t="s">
        <v>504</v>
      </c>
      <c r="F240" s="1234" t="s">
        <v>430</v>
      </c>
      <c r="G240" s="1234" t="s">
        <v>571</v>
      </c>
      <c r="H240" s="1312" t="s">
        <v>569</v>
      </c>
      <c r="I240" s="1236" t="s">
        <v>570</v>
      </c>
      <c r="J240" s="1207" t="s">
        <v>462</v>
      </c>
      <c r="K240" s="1206" t="s">
        <v>199</v>
      </c>
      <c r="L240" s="1206" t="s">
        <v>199</v>
      </c>
      <c r="M240" s="542" t="s">
        <v>122</v>
      </c>
      <c r="N240" s="1248"/>
      <c r="O240" s="551">
        <f>O241+O242</f>
        <v>0</v>
      </c>
      <c r="P240" s="551">
        <f>P241+P242</f>
        <v>0</v>
      </c>
      <c r="Q240" s="552">
        <f>Q241+Q242</f>
        <v>0</v>
      </c>
      <c r="R240" s="48"/>
      <c r="S240" s="48"/>
      <c r="T240" s="48"/>
      <c r="U240" s="48"/>
      <c r="V240" s="48"/>
    </row>
    <row r="241" spans="2:22" ht="27" customHeight="1" thickBot="1" x14ac:dyDescent="0.3">
      <c r="B241" s="1204"/>
      <c r="C241" s="1192"/>
      <c r="D241" s="555"/>
      <c r="E241" s="1199"/>
      <c r="F241" s="1201"/>
      <c r="G241" s="1201"/>
      <c r="H241" s="1209"/>
      <c r="I241" s="1199"/>
      <c r="J241" s="1199"/>
      <c r="K241" s="1204"/>
      <c r="L241" s="1204"/>
      <c r="M241" s="636" t="s">
        <v>123</v>
      </c>
      <c r="N241" s="1249"/>
      <c r="O241" s="561">
        <v>0</v>
      </c>
      <c r="P241" s="562">
        <v>0</v>
      </c>
      <c r="Q241" s="550">
        <v>0</v>
      </c>
      <c r="R241" s="48"/>
      <c r="S241" s="48"/>
      <c r="T241" s="48"/>
      <c r="U241" s="48"/>
      <c r="V241" s="48"/>
    </row>
    <row r="242" spans="2:22" ht="27" customHeight="1" thickBot="1" x14ac:dyDescent="0.3">
      <c r="B242" s="1204"/>
      <c r="C242" s="1192"/>
      <c r="D242" s="555"/>
      <c r="E242" s="1199"/>
      <c r="F242" s="1201"/>
      <c r="G242" s="1201"/>
      <c r="H242" s="1209"/>
      <c r="I242" s="1199"/>
      <c r="J242" s="1199"/>
      <c r="K242" s="1204"/>
      <c r="L242" s="1204"/>
      <c r="M242" s="672" t="s">
        <v>124</v>
      </c>
      <c r="N242" s="1250"/>
      <c r="O242" s="551">
        <v>0</v>
      </c>
      <c r="P242" s="552">
        <v>0</v>
      </c>
      <c r="Q242" s="549">
        <v>0</v>
      </c>
      <c r="R242" s="48"/>
      <c r="S242" s="48"/>
      <c r="T242" s="48"/>
      <c r="U242" s="48"/>
      <c r="V242" s="48"/>
    </row>
    <row r="243" spans="2:22" ht="24" customHeight="1" thickBot="1" x14ac:dyDescent="0.3">
      <c r="B243" s="1241"/>
      <c r="C243" s="1239"/>
      <c r="D243" s="555"/>
      <c r="E243" s="1237"/>
      <c r="F243" s="1235"/>
      <c r="G243" s="1235"/>
      <c r="H243" s="1291"/>
      <c r="I243" s="1237"/>
      <c r="J243" s="1208"/>
      <c r="K243" s="1204"/>
      <c r="L243" s="1204"/>
      <c r="M243" s="547" t="s">
        <v>745</v>
      </c>
      <c r="N243" s="681"/>
      <c r="O243" s="557">
        <v>185.125</v>
      </c>
      <c r="P243" s="676">
        <v>0</v>
      </c>
      <c r="Q243" s="563">
        <v>0</v>
      </c>
      <c r="R243" s="48"/>
      <c r="S243" s="48"/>
      <c r="T243" s="48"/>
      <c r="U243" s="48"/>
      <c r="V243" s="48"/>
    </row>
    <row r="244" spans="2:22" ht="30" customHeight="1" thickBot="1" x14ac:dyDescent="0.3">
      <c r="B244" s="1240" t="s">
        <v>64</v>
      </c>
      <c r="C244" s="1238" t="s">
        <v>291</v>
      </c>
      <c r="D244" s="555">
        <v>27302111</v>
      </c>
      <c r="E244" s="1236" t="s">
        <v>504</v>
      </c>
      <c r="F244" s="1234" t="s">
        <v>824</v>
      </c>
      <c r="G244" s="1236" t="s">
        <v>823</v>
      </c>
      <c r="H244" s="1312" t="s">
        <v>240</v>
      </c>
      <c r="I244" s="1236">
        <v>1</v>
      </c>
      <c r="J244" s="1207" t="s">
        <v>462</v>
      </c>
      <c r="K244" s="1206" t="s">
        <v>199</v>
      </c>
      <c r="L244" s="1206" t="s">
        <v>199</v>
      </c>
      <c r="M244" s="542" t="s">
        <v>122</v>
      </c>
      <c r="N244" s="1248"/>
      <c r="O244" s="551">
        <f>O245+O246</f>
        <v>600</v>
      </c>
      <c r="P244" s="551">
        <f>P245+P246</f>
        <v>0</v>
      </c>
      <c r="Q244" s="552">
        <f>Q245+Q246</f>
        <v>0</v>
      </c>
      <c r="R244" s="48"/>
      <c r="S244" s="48"/>
      <c r="T244" s="48"/>
      <c r="U244" s="48"/>
      <c r="V244" s="48"/>
    </row>
    <row r="245" spans="2:22" ht="19.5" customHeight="1" thickBot="1" x14ac:dyDescent="0.3">
      <c r="B245" s="1204"/>
      <c r="C245" s="1192"/>
      <c r="D245" s="555"/>
      <c r="E245" s="1199"/>
      <c r="F245" s="1201"/>
      <c r="G245" s="1199"/>
      <c r="H245" s="1209"/>
      <c r="I245" s="1199"/>
      <c r="J245" s="1199"/>
      <c r="K245" s="1204"/>
      <c r="L245" s="1204"/>
      <c r="M245" s="636" t="s">
        <v>123</v>
      </c>
      <c r="N245" s="1249"/>
      <c r="O245" s="561">
        <v>0</v>
      </c>
      <c r="P245" s="562">
        <v>0</v>
      </c>
      <c r="Q245" s="550">
        <v>0</v>
      </c>
      <c r="R245" s="48"/>
      <c r="S245" s="48"/>
      <c r="T245" s="48"/>
      <c r="U245" s="48"/>
      <c r="V245" s="48"/>
    </row>
    <row r="246" spans="2:22" ht="27.75" customHeight="1" thickBot="1" x14ac:dyDescent="0.3">
      <c r="B246" s="1204"/>
      <c r="C246" s="1192"/>
      <c r="D246" s="555"/>
      <c r="E246" s="1199"/>
      <c r="F246" s="1201"/>
      <c r="G246" s="1199"/>
      <c r="H246" s="1209"/>
      <c r="I246" s="1199"/>
      <c r="J246" s="1199"/>
      <c r="K246" s="1204"/>
      <c r="L246" s="1204"/>
      <c r="M246" s="672" t="s">
        <v>124</v>
      </c>
      <c r="N246" s="1250"/>
      <c r="O246" s="551">
        <v>600</v>
      </c>
      <c r="P246" s="552">
        <v>0</v>
      </c>
      <c r="Q246" s="549">
        <v>0</v>
      </c>
      <c r="R246" s="48"/>
      <c r="S246" s="48"/>
      <c r="T246" s="48"/>
      <c r="U246" s="48"/>
      <c r="V246" s="48"/>
    </row>
    <row r="247" spans="2:22" ht="24.75" customHeight="1" thickBot="1" x14ac:dyDescent="0.3">
      <c r="B247" s="1241"/>
      <c r="C247" s="1239"/>
      <c r="D247" s="555"/>
      <c r="E247" s="1237"/>
      <c r="F247" s="1235"/>
      <c r="G247" s="1237"/>
      <c r="H247" s="1291"/>
      <c r="I247" s="1237"/>
      <c r="J247" s="1208"/>
      <c r="K247" s="1204"/>
      <c r="L247" s="1204"/>
      <c r="M247" s="547" t="s">
        <v>745</v>
      </c>
      <c r="N247" s="681"/>
      <c r="O247" s="557">
        <v>0</v>
      </c>
      <c r="P247" s="676">
        <v>0</v>
      </c>
      <c r="Q247" s="563">
        <v>0</v>
      </c>
      <c r="R247" s="48"/>
      <c r="S247" s="48"/>
      <c r="T247" s="48"/>
      <c r="U247" s="48"/>
      <c r="V247" s="48"/>
    </row>
    <row r="248" spans="2:22" ht="66" customHeight="1" thickBot="1" x14ac:dyDescent="0.3">
      <c r="B248" s="1240" t="s">
        <v>64</v>
      </c>
      <c r="C248" s="1238" t="s">
        <v>291</v>
      </c>
      <c r="D248" s="555">
        <v>27302111</v>
      </c>
      <c r="E248" s="1236" t="s">
        <v>459</v>
      </c>
      <c r="F248" s="1234" t="s">
        <v>868</v>
      </c>
      <c r="G248" s="1236" t="s">
        <v>761</v>
      </c>
      <c r="H248" s="1312" t="s">
        <v>240</v>
      </c>
      <c r="I248" s="1236">
        <v>6</v>
      </c>
      <c r="J248" s="1207" t="s">
        <v>462</v>
      </c>
      <c r="K248" s="1206" t="s">
        <v>199</v>
      </c>
      <c r="L248" s="1206" t="s">
        <v>199</v>
      </c>
      <c r="M248" s="542" t="s">
        <v>122</v>
      </c>
      <c r="N248" s="1248"/>
      <c r="O248" s="551">
        <f>O249+O250</f>
        <v>1000</v>
      </c>
      <c r="P248" s="551">
        <f>P249+P250</f>
        <v>0</v>
      </c>
      <c r="Q248" s="552">
        <f>Q249+Q250</f>
        <v>0</v>
      </c>
      <c r="R248" s="48"/>
      <c r="S248" s="48"/>
      <c r="T248" s="48"/>
      <c r="U248" s="48"/>
      <c r="V248" s="48"/>
    </row>
    <row r="249" spans="2:22" ht="51" customHeight="1" thickBot="1" x14ac:dyDescent="0.3">
      <c r="B249" s="1204"/>
      <c r="C249" s="1192"/>
      <c r="D249" s="555"/>
      <c r="E249" s="1199"/>
      <c r="F249" s="1201"/>
      <c r="G249" s="1199"/>
      <c r="H249" s="1209"/>
      <c r="I249" s="1199"/>
      <c r="J249" s="1199"/>
      <c r="K249" s="1204"/>
      <c r="L249" s="1204"/>
      <c r="M249" s="636" t="s">
        <v>123</v>
      </c>
      <c r="N249" s="1249"/>
      <c r="O249" s="561">
        <v>0</v>
      </c>
      <c r="P249" s="562">
        <v>0</v>
      </c>
      <c r="Q249" s="550">
        <v>0</v>
      </c>
      <c r="R249" s="48"/>
      <c r="S249" s="48"/>
      <c r="T249" s="48"/>
      <c r="U249" s="48"/>
      <c r="V249" s="48"/>
    </row>
    <row r="250" spans="2:22" ht="24.75" customHeight="1" thickBot="1" x14ac:dyDescent="0.3">
      <c r="B250" s="1204"/>
      <c r="C250" s="1192"/>
      <c r="D250" s="555"/>
      <c r="E250" s="1199"/>
      <c r="F250" s="1201"/>
      <c r="G250" s="1199"/>
      <c r="H250" s="1209"/>
      <c r="I250" s="1199"/>
      <c r="J250" s="1199"/>
      <c r="K250" s="1204"/>
      <c r="L250" s="1204"/>
      <c r="M250" s="672" t="s">
        <v>124</v>
      </c>
      <c r="N250" s="1250"/>
      <c r="O250" s="551">
        <v>1000</v>
      </c>
      <c r="P250" s="552">
        <v>0</v>
      </c>
      <c r="Q250" s="549">
        <v>0</v>
      </c>
      <c r="R250" s="48"/>
      <c r="S250" s="48"/>
      <c r="T250" s="48"/>
      <c r="U250" s="48"/>
      <c r="V250" s="48"/>
    </row>
    <row r="251" spans="2:22" ht="24.75" customHeight="1" thickBot="1" x14ac:dyDescent="0.3">
      <c r="B251" s="1241"/>
      <c r="C251" s="1239"/>
      <c r="D251" s="555"/>
      <c r="E251" s="1237"/>
      <c r="F251" s="1235"/>
      <c r="G251" s="1237"/>
      <c r="H251" s="1291"/>
      <c r="I251" s="1237"/>
      <c r="J251" s="1208"/>
      <c r="K251" s="1204"/>
      <c r="L251" s="1204"/>
      <c r="M251" s="547" t="s">
        <v>745</v>
      </c>
      <c r="N251" s="681"/>
      <c r="O251" s="557">
        <v>0</v>
      </c>
      <c r="P251" s="676">
        <v>0</v>
      </c>
      <c r="Q251" s="563">
        <v>0</v>
      </c>
      <c r="R251" s="48"/>
      <c r="S251" s="48"/>
      <c r="T251" s="48"/>
      <c r="U251" s="48"/>
      <c r="V251" s="48"/>
    </row>
    <row r="252" spans="2:22" s="48" customFormat="1" ht="27" customHeight="1" thickBot="1" x14ac:dyDescent="0.3">
      <c r="B252" s="1240" t="s">
        <v>64</v>
      </c>
      <c r="C252" s="1238" t="s">
        <v>291</v>
      </c>
      <c r="D252" s="555">
        <v>27302111</v>
      </c>
      <c r="E252" s="1236" t="s">
        <v>458</v>
      </c>
      <c r="F252" s="1234" t="s">
        <v>845</v>
      </c>
      <c r="G252" s="1234" t="s">
        <v>190</v>
      </c>
      <c r="H252" s="1312" t="s">
        <v>240</v>
      </c>
      <c r="I252" s="1236">
        <v>1</v>
      </c>
      <c r="J252" s="1207" t="s">
        <v>462</v>
      </c>
      <c r="K252" s="1206" t="s">
        <v>199</v>
      </c>
      <c r="L252" s="1206" t="s">
        <v>199</v>
      </c>
      <c r="M252" s="542" t="s">
        <v>122</v>
      </c>
      <c r="N252" s="1248"/>
      <c r="O252" s="551">
        <f>O253+O254</f>
        <v>0</v>
      </c>
      <c r="P252" s="551">
        <f>P253+P254</f>
        <v>0</v>
      </c>
      <c r="Q252" s="552">
        <f>Q253+Q254</f>
        <v>0</v>
      </c>
    </row>
    <row r="253" spans="2:22" s="48" customFormat="1" ht="18.75" customHeight="1" thickBot="1" x14ac:dyDescent="0.3">
      <c r="B253" s="1204"/>
      <c r="C253" s="1192"/>
      <c r="D253" s="555"/>
      <c r="E253" s="1199"/>
      <c r="F253" s="1201"/>
      <c r="G253" s="1201"/>
      <c r="H253" s="1209"/>
      <c r="I253" s="1199"/>
      <c r="J253" s="1199"/>
      <c r="K253" s="1204"/>
      <c r="L253" s="1204"/>
      <c r="M253" s="636" t="s">
        <v>123</v>
      </c>
      <c r="N253" s="1249"/>
      <c r="O253" s="561">
        <v>0</v>
      </c>
      <c r="P253" s="562">
        <v>0</v>
      </c>
      <c r="Q253" s="550">
        <v>0</v>
      </c>
    </row>
    <row r="254" spans="2:22" s="48" customFormat="1" ht="23.25" customHeight="1" thickBot="1" x14ac:dyDescent="0.3">
      <c r="B254" s="1204"/>
      <c r="C254" s="1192"/>
      <c r="D254" s="555"/>
      <c r="E254" s="1199"/>
      <c r="F254" s="1201"/>
      <c r="G254" s="1201"/>
      <c r="H254" s="1209"/>
      <c r="I254" s="1199"/>
      <c r="J254" s="1199"/>
      <c r="K254" s="1204"/>
      <c r="L254" s="1204"/>
      <c r="M254" s="672" t="s">
        <v>124</v>
      </c>
      <c r="N254" s="1250"/>
      <c r="O254" s="551">
        <v>0</v>
      </c>
      <c r="P254" s="552">
        <v>0</v>
      </c>
      <c r="Q254" s="549">
        <v>0</v>
      </c>
    </row>
    <row r="255" spans="2:22" s="48" customFormat="1" ht="21.75" customHeight="1" thickBot="1" x14ac:dyDescent="0.3">
      <c r="B255" s="1241"/>
      <c r="C255" s="1239"/>
      <c r="D255" s="555"/>
      <c r="E255" s="1237"/>
      <c r="F255" s="1235"/>
      <c r="G255" s="1235"/>
      <c r="H255" s="1291"/>
      <c r="I255" s="1237"/>
      <c r="J255" s="1208"/>
      <c r="K255" s="1204"/>
      <c r="L255" s="1204"/>
      <c r="M255" s="547" t="s">
        <v>745</v>
      </c>
      <c r="N255" s="681"/>
      <c r="O255" s="557">
        <v>233.31</v>
      </c>
      <c r="P255" s="676">
        <v>0</v>
      </c>
      <c r="Q255" s="563">
        <v>0</v>
      </c>
    </row>
    <row r="256" spans="2:22" s="48" customFormat="1" ht="21.75" customHeight="1" thickBot="1" x14ac:dyDescent="0.3">
      <c r="B256" s="1240" t="s">
        <v>64</v>
      </c>
      <c r="C256" s="1238" t="s">
        <v>291</v>
      </c>
      <c r="D256" s="555">
        <v>27302111</v>
      </c>
      <c r="E256" s="1236" t="s">
        <v>458</v>
      </c>
      <c r="F256" s="1234" t="s">
        <v>871</v>
      </c>
      <c r="G256" s="1234" t="s">
        <v>846</v>
      </c>
      <c r="H256" s="1312" t="s">
        <v>240</v>
      </c>
      <c r="I256" s="1236">
        <v>1</v>
      </c>
      <c r="J256" s="1207" t="s">
        <v>462</v>
      </c>
      <c r="K256" s="1206" t="s">
        <v>199</v>
      </c>
      <c r="L256" s="1206" t="s">
        <v>199</v>
      </c>
      <c r="M256" s="542" t="s">
        <v>122</v>
      </c>
      <c r="N256" s="1248"/>
      <c r="O256" s="551">
        <f>O257+O258</f>
        <v>401.25100000000003</v>
      </c>
      <c r="P256" s="551">
        <f>P257+P258</f>
        <v>0</v>
      </c>
      <c r="Q256" s="552">
        <f>Q257+Q258</f>
        <v>0</v>
      </c>
    </row>
    <row r="257" spans="2:19" s="48" customFormat="1" ht="21.75" customHeight="1" thickBot="1" x14ac:dyDescent="0.3">
      <c r="B257" s="1204"/>
      <c r="C257" s="1192"/>
      <c r="D257" s="555"/>
      <c r="E257" s="1199"/>
      <c r="F257" s="1201"/>
      <c r="G257" s="1201"/>
      <c r="H257" s="1209"/>
      <c r="I257" s="1199"/>
      <c r="J257" s="1199"/>
      <c r="K257" s="1204"/>
      <c r="L257" s="1204"/>
      <c r="M257" s="636" t="s">
        <v>123</v>
      </c>
      <c r="N257" s="1249"/>
      <c r="O257" s="561">
        <v>0</v>
      </c>
      <c r="P257" s="562">
        <v>0</v>
      </c>
      <c r="Q257" s="550">
        <v>0</v>
      </c>
    </row>
    <row r="258" spans="2:19" s="48" customFormat="1" ht="21.75" customHeight="1" thickBot="1" x14ac:dyDescent="0.3">
      <c r="B258" s="1204"/>
      <c r="C258" s="1192"/>
      <c r="D258" s="555"/>
      <c r="E258" s="1199"/>
      <c r="F258" s="1201"/>
      <c r="G258" s="1201"/>
      <c r="H258" s="1209"/>
      <c r="I258" s="1199"/>
      <c r="J258" s="1199"/>
      <c r="K258" s="1204"/>
      <c r="L258" s="1204"/>
      <c r="M258" s="672" t="s">
        <v>124</v>
      </c>
      <c r="N258" s="1250"/>
      <c r="O258" s="551">
        <f>379.641+21.61</f>
        <v>401.25100000000003</v>
      </c>
      <c r="P258" s="552">
        <v>0</v>
      </c>
      <c r="Q258" s="549">
        <v>0</v>
      </c>
      <c r="R258" s="48">
        <v>401.25099999999998</v>
      </c>
      <c r="S258" s="686">
        <f>O258-R258</f>
        <v>0</v>
      </c>
    </row>
    <row r="259" spans="2:19" s="48" customFormat="1" ht="21.75" customHeight="1" thickBot="1" x14ac:dyDescent="0.3">
      <c r="B259" s="1241"/>
      <c r="C259" s="1239"/>
      <c r="D259" s="555"/>
      <c r="E259" s="1237"/>
      <c r="F259" s="1235"/>
      <c r="G259" s="1235"/>
      <c r="H259" s="1291"/>
      <c r="I259" s="1237"/>
      <c r="J259" s="1208"/>
      <c r="K259" s="1204"/>
      <c r="L259" s="1204"/>
      <c r="M259" s="547" t="s">
        <v>745</v>
      </c>
      <c r="N259" s="681"/>
      <c r="O259" s="557">
        <v>0</v>
      </c>
      <c r="P259" s="676">
        <v>0</v>
      </c>
      <c r="Q259" s="563">
        <v>0</v>
      </c>
    </row>
    <row r="260" spans="2:19" s="48" customFormat="1" ht="48.75" customHeight="1" thickBot="1" x14ac:dyDescent="0.3">
      <c r="B260" s="1240" t="s">
        <v>64</v>
      </c>
      <c r="C260" s="1238" t="s">
        <v>291</v>
      </c>
      <c r="D260" s="555">
        <v>27302170</v>
      </c>
      <c r="E260" s="1236" t="s">
        <v>200</v>
      </c>
      <c r="F260" s="1234" t="s">
        <v>869</v>
      </c>
      <c r="G260" s="1236" t="s">
        <v>190</v>
      </c>
      <c r="H260" s="1312" t="s">
        <v>240</v>
      </c>
      <c r="I260" s="1236">
        <v>1</v>
      </c>
      <c r="J260" s="1207" t="s">
        <v>462</v>
      </c>
      <c r="K260" s="1206" t="s">
        <v>199</v>
      </c>
      <c r="L260" s="1206" t="s">
        <v>199</v>
      </c>
      <c r="M260" s="542" t="s">
        <v>122</v>
      </c>
      <c r="N260" s="1248"/>
      <c r="O260" s="551">
        <f>O261+O262</f>
        <v>91466</v>
      </c>
      <c r="P260" s="551">
        <f>P261+P262</f>
        <v>0</v>
      </c>
      <c r="Q260" s="552">
        <f>Q261+Q262</f>
        <v>0</v>
      </c>
    </row>
    <row r="261" spans="2:19" s="48" customFormat="1" ht="48" customHeight="1" thickBot="1" x14ac:dyDescent="0.3">
      <c r="B261" s="1204"/>
      <c r="C261" s="1192"/>
      <c r="D261" s="555"/>
      <c r="E261" s="1199"/>
      <c r="F261" s="1201"/>
      <c r="G261" s="1199"/>
      <c r="H261" s="1209"/>
      <c r="I261" s="1199"/>
      <c r="J261" s="1199"/>
      <c r="K261" s="1204"/>
      <c r="L261" s="1204"/>
      <c r="M261" s="636" t="s">
        <v>123</v>
      </c>
      <c r="N261" s="1249"/>
      <c r="O261" s="561">
        <v>45733</v>
      </c>
      <c r="P261" s="562">
        <v>0</v>
      </c>
      <c r="Q261" s="550">
        <v>0</v>
      </c>
      <c r="R261" s="48">
        <v>45733</v>
      </c>
    </row>
    <row r="262" spans="2:19" s="48" customFormat="1" ht="54" customHeight="1" thickBot="1" x14ac:dyDescent="0.3">
      <c r="B262" s="1204"/>
      <c r="C262" s="1192"/>
      <c r="D262" s="555"/>
      <c r="E262" s="1199"/>
      <c r="F262" s="1201"/>
      <c r="G262" s="1199"/>
      <c r="H262" s="1209"/>
      <c r="I262" s="1199"/>
      <c r="J262" s="1199"/>
      <c r="K262" s="1204"/>
      <c r="L262" s="1204"/>
      <c r="M262" s="672" t="s">
        <v>124</v>
      </c>
      <c r="N262" s="1250"/>
      <c r="O262" s="551">
        <f>41723.9+4009.1</f>
        <v>45733</v>
      </c>
      <c r="P262" s="552">
        <v>0</v>
      </c>
      <c r="Q262" s="549">
        <v>0</v>
      </c>
    </row>
    <row r="263" spans="2:19" s="48" customFormat="1" ht="42" customHeight="1" thickBot="1" x14ac:dyDescent="0.3">
      <c r="B263" s="1241"/>
      <c r="C263" s="1239"/>
      <c r="D263" s="555"/>
      <c r="E263" s="1237"/>
      <c r="F263" s="1235"/>
      <c r="G263" s="1237"/>
      <c r="H263" s="1291"/>
      <c r="I263" s="1237"/>
      <c r="J263" s="1208"/>
      <c r="K263" s="1204"/>
      <c r="L263" s="1204"/>
      <c r="M263" s="547" t="s">
        <v>745</v>
      </c>
      <c r="N263" s="681"/>
      <c r="O263" s="557">
        <v>0</v>
      </c>
      <c r="P263" s="676">
        <v>0</v>
      </c>
      <c r="Q263" s="563">
        <v>0</v>
      </c>
    </row>
    <row r="264" spans="2:19" s="48" customFormat="1" ht="83.25" customHeight="1" thickBot="1" x14ac:dyDescent="0.3">
      <c r="B264" s="1240" t="s">
        <v>64</v>
      </c>
      <c r="C264" s="1238" t="s">
        <v>291</v>
      </c>
      <c r="D264" s="555">
        <v>27302170</v>
      </c>
      <c r="E264" s="1236" t="s">
        <v>200</v>
      </c>
      <c r="F264" s="1234" t="s">
        <v>866</v>
      </c>
      <c r="G264" s="1236" t="s">
        <v>190</v>
      </c>
      <c r="H264" s="1312" t="s">
        <v>240</v>
      </c>
      <c r="I264" s="1236">
        <v>1</v>
      </c>
      <c r="J264" s="1207" t="s">
        <v>462</v>
      </c>
      <c r="K264" s="1206" t="s">
        <v>199</v>
      </c>
      <c r="L264" s="1206" t="s">
        <v>199</v>
      </c>
      <c r="M264" s="542" t="s">
        <v>122</v>
      </c>
      <c r="N264" s="1248"/>
      <c r="O264" s="551">
        <f>O265+O266</f>
        <v>3681.31</v>
      </c>
      <c r="P264" s="551">
        <f>P265+P266</f>
        <v>0</v>
      </c>
      <c r="Q264" s="552">
        <f>Q265+Q266</f>
        <v>0</v>
      </c>
    </row>
    <row r="265" spans="2:19" s="48" customFormat="1" ht="45" customHeight="1" thickBot="1" x14ac:dyDescent="0.3">
      <c r="B265" s="1204"/>
      <c r="C265" s="1192"/>
      <c r="D265" s="555"/>
      <c r="E265" s="1199"/>
      <c r="F265" s="1201"/>
      <c r="G265" s="1199"/>
      <c r="H265" s="1209"/>
      <c r="I265" s="1199"/>
      <c r="J265" s="1199"/>
      <c r="K265" s="1204"/>
      <c r="L265" s="1204"/>
      <c r="M265" s="636" t="s">
        <v>123</v>
      </c>
      <c r="N265" s="1249"/>
      <c r="O265" s="561">
        <v>0</v>
      </c>
      <c r="P265" s="562">
        <v>0</v>
      </c>
      <c r="Q265" s="550">
        <v>0</v>
      </c>
    </row>
    <row r="266" spans="2:19" s="48" customFormat="1" ht="57.75" customHeight="1" thickBot="1" x14ac:dyDescent="0.3">
      <c r="B266" s="1204"/>
      <c r="C266" s="1192"/>
      <c r="D266" s="555"/>
      <c r="E266" s="1199"/>
      <c r="F266" s="1201"/>
      <c r="G266" s="1199"/>
      <c r="H266" s="1209"/>
      <c r="I266" s="1199"/>
      <c r="J266" s="1199"/>
      <c r="K266" s="1204"/>
      <c r="L266" s="1204"/>
      <c r="M266" s="672" t="s">
        <v>124</v>
      </c>
      <c r="N266" s="1250"/>
      <c r="O266" s="551">
        <f>7690.41-4009.1</f>
        <v>3681.31</v>
      </c>
      <c r="P266" s="552">
        <v>0</v>
      </c>
      <c r="Q266" s="549">
        <v>0</v>
      </c>
    </row>
    <row r="267" spans="2:19" s="48" customFormat="1" ht="61.5" customHeight="1" thickBot="1" x14ac:dyDescent="0.3">
      <c r="B267" s="1204"/>
      <c r="C267" s="1192"/>
      <c r="D267" s="680"/>
      <c r="E267" s="1199"/>
      <c r="F267" s="1201"/>
      <c r="G267" s="1199"/>
      <c r="H267" s="1209"/>
      <c r="I267" s="1199"/>
      <c r="J267" s="1199"/>
      <c r="K267" s="1204"/>
      <c r="L267" s="1204"/>
      <c r="M267" s="671" t="s">
        <v>745</v>
      </c>
      <c r="N267" s="690"/>
      <c r="O267" s="561">
        <v>0</v>
      </c>
      <c r="P267" s="562">
        <v>0</v>
      </c>
      <c r="Q267" s="550">
        <v>0</v>
      </c>
    </row>
    <row r="268" spans="2:19" s="48" customFormat="1" ht="21.75" customHeight="1" thickBot="1" x14ac:dyDescent="0.3">
      <c r="B268" s="1206" t="s">
        <v>64</v>
      </c>
      <c r="C268" s="1215" t="s">
        <v>291</v>
      </c>
      <c r="D268" s="654">
        <v>27302111</v>
      </c>
      <c r="E268" s="1207" t="s">
        <v>459</v>
      </c>
      <c r="F268" s="1200" t="s">
        <v>850</v>
      </c>
      <c r="G268" s="1207" t="s">
        <v>190</v>
      </c>
      <c r="H268" s="1232" t="s">
        <v>240</v>
      </c>
      <c r="I268" s="1206" t="s">
        <v>199</v>
      </c>
      <c r="J268" s="1206" t="s">
        <v>528</v>
      </c>
      <c r="K268" s="1206" t="s">
        <v>263</v>
      </c>
      <c r="L268" s="1206" t="s">
        <v>199</v>
      </c>
      <c r="M268" s="542" t="s">
        <v>122</v>
      </c>
      <c r="N268" s="1248"/>
      <c r="O268" s="551">
        <f>O269+O270</f>
        <v>0</v>
      </c>
      <c r="P268" s="551">
        <f>P269+P270</f>
        <v>800</v>
      </c>
      <c r="Q268" s="552">
        <f>Q269+Q270</f>
        <v>0</v>
      </c>
    </row>
    <row r="269" spans="2:19" s="48" customFormat="1" ht="21.75" customHeight="1" thickBot="1" x14ac:dyDescent="0.3">
      <c r="B269" s="1204"/>
      <c r="C269" s="1192"/>
      <c r="D269" s="555"/>
      <c r="E269" s="1199"/>
      <c r="F269" s="1201"/>
      <c r="G269" s="1199"/>
      <c r="H269" s="1209"/>
      <c r="I269" s="1204"/>
      <c r="J269" s="1204"/>
      <c r="K269" s="1204"/>
      <c r="L269" s="1204"/>
      <c r="M269" s="636" t="s">
        <v>123</v>
      </c>
      <c r="N269" s="1249"/>
      <c r="O269" s="561">
        <v>0</v>
      </c>
      <c r="P269" s="562">
        <v>0</v>
      </c>
      <c r="Q269" s="550">
        <v>0</v>
      </c>
    </row>
    <row r="270" spans="2:19" s="48" customFormat="1" ht="21.75" customHeight="1" thickBot="1" x14ac:dyDescent="0.3">
      <c r="B270" s="1204"/>
      <c r="C270" s="1192"/>
      <c r="D270" s="555"/>
      <c r="E270" s="1199"/>
      <c r="F270" s="1201"/>
      <c r="G270" s="1199"/>
      <c r="H270" s="1209"/>
      <c r="I270" s="1204"/>
      <c r="J270" s="1204"/>
      <c r="K270" s="1204"/>
      <c r="L270" s="1204"/>
      <c r="M270" s="672" t="s">
        <v>124</v>
      </c>
      <c r="N270" s="1250"/>
      <c r="O270" s="551">
        <v>0</v>
      </c>
      <c r="P270" s="552">
        <v>800</v>
      </c>
      <c r="Q270" s="549">
        <v>0</v>
      </c>
    </row>
    <row r="271" spans="2:19" s="48" customFormat="1" ht="21.75" customHeight="1" thickBot="1" x14ac:dyDescent="0.3">
      <c r="B271" s="1205"/>
      <c r="C271" s="1216"/>
      <c r="D271" s="558"/>
      <c r="E271" s="1208"/>
      <c r="F271" s="1202"/>
      <c r="G271" s="1208"/>
      <c r="H271" s="1210"/>
      <c r="I271" s="1205"/>
      <c r="J271" s="1205"/>
      <c r="K271" s="1205"/>
      <c r="L271" s="1205"/>
      <c r="M271" s="547" t="s">
        <v>745</v>
      </c>
      <c r="N271" s="681"/>
      <c r="O271" s="557">
        <v>0</v>
      </c>
      <c r="P271" s="676">
        <v>0</v>
      </c>
      <c r="Q271" s="563">
        <v>0</v>
      </c>
    </row>
    <row r="272" spans="2:19" s="48" customFormat="1" ht="62.25" customHeight="1" thickBot="1" x14ac:dyDescent="0.3">
      <c r="B272" s="1240" t="s">
        <v>64</v>
      </c>
      <c r="C272" s="1238" t="s">
        <v>291</v>
      </c>
      <c r="D272" s="555">
        <v>27302170</v>
      </c>
      <c r="E272" s="1236" t="s">
        <v>200</v>
      </c>
      <c r="F272" s="1234" t="s">
        <v>851</v>
      </c>
      <c r="G272" s="1207" t="s">
        <v>190</v>
      </c>
      <c r="H272" s="1232" t="s">
        <v>240</v>
      </c>
      <c r="I272" s="1206" t="s">
        <v>199</v>
      </c>
      <c r="J272" s="1206" t="s">
        <v>528</v>
      </c>
      <c r="K272" s="1206" t="s">
        <v>263</v>
      </c>
      <c r="L272" s="1206" t="s">
        <v>199</v>
      </c>
      <c r="M272" s="542" t="s">
        <v>122</v>
      </c>
      <c r="N272" s="1248"/>
      <c r="O272" s="551">
        <f>O273+O274</f>
        <v>0</v>
      </c>
      <c r="P272" s="551">
        <f>P273+P274</f>
        <v>29490.41</v>
      </c>
      <c r="Q272" s="552">
        <f>Q273+Q274</f>
        <v>0</v>
      </c>
    </row>
    <row r="273" spans="2:17" s="48" customFormat="1" ht="21.75" customHeight="1" thickBot="1" x14ac:dyDescent="0.3">
      <c r="B273" s="1204"/>
      <c r="C273" s="1192"/>
      <c r="D273" s="555"/>
      <c r="E273" s="1199"/>
      <c r="F273" s="1201"/>
      <c r="G273" s="1199"/>
      <c r="H273" s="1209"/>
      <c r="I273" s="1204"/>
      <c r="J273" s="1204"/>
      <c r="K273" s="1204"/>
      <c r="L273" s="1204"/>
      <c r="M273" s="636" t="s">
        <v>123</v>
      </c>
      <c r="N273" s="1249"/>
      <c r="O273" s="561">
        <v>0</v>
      </c>
      <c r="P273" s="562">
        <v>0</v>
      </c>
      <c r="Q273" s="550">
        <v>0</v>
      </c>
    </row>
    <row r="274" spans="2:17" s="48" customFormat="1" ht="21.75" customHeight="1" thickBot="1" x14ac:dyDescent="0.3">
      <c r="B274" s="1204"/>
      <c r="C274" s="1192"/>
      <c r="D274" s="555"/>
      <c r="E274" s="1199"/>
      <c r="F274" s="1201"/>
      <c r="G274" s="1199"/>
      <c r="H274" s="1209"/>
      <c r="I274" s="1204"/>
      <c r="J274" s="1204"/>
      <c r="K274" s="1204"/>
      <c r="L274" s="1204"/>
      <c r="M274" s="672" t="s">
        <v>124</v>
      </c>
      <c r="N274" s="1250"/>
      <c r="O274" s="551">
        <v>0</v>
      </c>
      <c r="P274" s="552">
        <v>29490.41</v>
      </c>
      <c r="Q274" s="549">
        <v>0</v>
      </c>
    </row>
    <row r="275" spans="2:17" s="48" customFormat="1" ht="21.75" customHeight="1" thickBot="1" x14ac:dyDescent="0.3">
      <c r="B275" s="1241"/>
      <c r="C275" s="1239"/>
      <c r="D275" s="555"/>
      <c r="E275" s="1237"/>
      <c r="F275" s="1235"/>
      <c r="G275" s="1208"/>
      <c r="H275" s="1210"/>
      <c r="I275" s="1205"/>
      <c r="J275" s="1205"/>
      <c r="K275" s="1205"/>
      <c r="L275" s="1205"/>
      <c r="M275" s="547" t="s">
        <v>745</v>
      </c>
      <c r="N275" s="681"/>
      <c r="O275" s="557">
        <v>0</v>
      </c>
      <c r="P275" s="676">
        <v>0</v>
      </c>
      <c r="Q275" s="563">
        <v>0</v>
      </c>
    </row>
    <row r="276" spans="2:17" s="48" customFormat="1" ht="21.75" customHeight="1" thickBot="1" x14ac:dyDescent="0.3">
      <c r="B276" s="1240" t="s">
        <v>64</v>
      </c>
      <c r="C276" s="1238" t="s">
        <v>291</v>
      </c>
      <c r="D276" s="555">
        <v>27302170</v>
      </c>
      <c r="E276" s="1236" t="s">
        <v>204</v>
      </c>
      <c r="F276" s="1234" t="s">
        <v>852</v>
      </c>
      <c r="G276" s="1234" t="s">
        <v>190</v>
      </c>
      <c r="H276" s="1312" t="s">
        <v>240</v>
      </c>
      <c r="I276" s="1206" t="s">
        <v>199</v>
      </c>
      <c r="J276" s="1206" t="s">
        <v>528</v>
      </c>
      <c r="K276" s="1206" t="s">
        <v>263</v>
      </c>
      <c r="L276" s="1206" t="s">
        <v>199</v>
      </c>
      <c r="M276" s="542" t="s">
        <v>122</v>
      </c>
      <c r="N276" s="1248"/>
      <c r="O276" s="551">
        <f>O277+O278</f>
        <v>0</v>
      </c>
      <c r="P276" s="551">
        <f>P277+P278</f>
        <v>1670</v>
      </c>
      <c r="Q276" s="552">
        <f>Q277+Q278</f>
        <v>0</v>
      </c>
    </row>
    <row r="277" spans="2:17" s="48" customFormat="1" ht="21.75" customHeight="1" thickBot="1" x14ac:dyDescent="0.3">
      <c r="B277" s="1204"/>
      <c r="C277" s="1192"/>
      <c r="D277" s="555"/>
      <c r="E277" s="1199"/>
      <c r="F277" s="1201"/>
      <c r="G277" s="1201"/>
      <c r="H277" s="1209"/>
      <c r="I277" s="1204"/>
      <c r="J277" s="1204"/>
      <c r="K277" s="1204"/>
      <c r="L277" s="1204"/>
      <c r="M277" s="636" t="s">
        <v>123</v>
      </c>
      <c r="N277" s="1249"/>
      <c r="O277" s="561">
        <v>0</v>
      </c>
      <c r="P277" s="562">
        <v>0</v>
      </c>
      <c r="Q277" s="550">
        <v>0</v>
      </c>
    </row>
    <row r="278" spans="2:17" s="48" customFormat="1" ht="21.75" customHeight="1" thickBot="1" x14ac:dyDescent="0.3">
      <c r="B278" s="1204"/>
      <c r="C278" s="1192"/>
      <c r="D278" s="555"/>
      <c r="E278" s="1199"/>
      <c r="F278" s="1201"/>
      <c r="G278" s="1201"/>
      <c r="H278" s="1209"/>
      <c r="I278" s="1204"/>
      <c r="J278" s="1204"/>
      <c r="K278" s="1204"/>
      <c r="L278" s="1204"/>
      <c r="M278" s="672" t="s">
        <v>124</v>
      </c>
      <c r="N278" s="1250"/>
      <c r="O278" s="551">
        <v>0</v>
      </c>
      <c r="P278" s="552">
        <v>1670</v>
      </c>
      <c r="Q278" s="549">
        <v>0</v>
      </c>
    </row>
    <row r="279" spans="2:17" s="48" customFormat="1" ht="21.75" customHeight="1" thickBot="1" x14ac:dyDescent="0.3">
      <c r="B279" s="1241"/>
      <c r="C279" s="1239"/>
      <c r="D279" s="555"/>
      <c r="E279" s="1237"/>
      <c r="F279" s="1235"/>
      <c r="G279" s="1235"/>
      <c r="H279" s="1291"/>
      <c r="I279" s="1205"/>
      <c r="J279" s="1205"/>
      <c r="K279" s="1205"/>
      <c r="L279" s="1205"/>
      <c r="M279" s="547" t="s">
        <v>745</v>
      </c>
      <c r="N279" s="681"/>
      <c r="O279" s="557">
        <v>0</v>
      </c>
      <c r="P279" s="676">
        <v>0</v>
      </c>
      <c r="Q279" s="563">
        <v>0</v>
      </c>
    </row>
    <row r="280" spans="2:17" s="48" customFormat="1" ht="21.75" customHeight="1" thickBot="1" x14ac:dyDescent="0.3">
      <c r="B280" s="1240" t="s">
        <v>64</v>
      </c>
      <c r="C280" s="1238" t="s">
        <v>291</v>
      </c>
      <c r="D280" s="555">
        <v>27302170</v>
      </c>
      <c r="E280" s="1236" t="s">
        <v>383</v>
      </c>
      <c r="F280" s="1234" t="s">
        <v>853</v>
      </c>
      <c r="G280" s="1234" t="s">
        <v>190</v>
      </c>
      <c r="H280" s="1312" t="s">
        <v>240</v>
      </c>
      <c r="I280" s="1206" t="s">
        <v>199</v>
      </c>
      <c r="J280" s="1206" t="s">
        <v>528</v>
      </c>
      <c r="K280" s="1206" t="s">
        <v>263</v>
      </c>
      <c r="L280" s="1206" t="s">
        <v>199</v>
      </c>
      <c r="M280" s="542" t="s">
        <v>122</v>
      </c>
      <c r="N280" s="1248"/>
      <c r="O280" s="551">
        <f>O281+O282</f>
        <v>0</v>
      </c>
      <c r="P280" s="551">
        <f>P281+P282</f>
        <v>2400</v>
      </c>
      <c r="Q280" s="552">
        <f>Q281+Q282</f>
        <v>0</v>
      </c>
    </row>
    <row r="281" spans="2:17" s="48" customFormat="1" ht="21.75" customHeight="1" thickBot="1" x14ac:dyDescent="0.3">
      <c r="B281" s="1204"/>
      <c r="C281" s="1192"/>
      <c r="D281" s="555"/>
      <c r="E281" s="1199"/>
      <c r="F281" s="1201"/>
      <c r="G281" s="1201"/>
      <c r="H281" s="1209"/>
      <c r="I281" s="1204"/>
      <c r="J281" s="1204"/>
      <c r="K281" s="1204"/>
      <c r="L281" s="1204"/>
      <c r="M281" s="636" t="s">
        <v>123</v>
      </c>
      <c r="N281" s="1249"/>
      <c r="O281" s="561">
        <v>0</v>
      </c>
      <c r="P281" s="562">
        <v>0</v>
      </c>
      <c r="Q281" s="550">
        <v>0</v>
      </c>
    </row>
    <row r="282" spans="2:17" s="48" customFormat="1" ht="21.75" customHeight="1" thickBot="1" x14ac:dyDescent="0.3">
      <c r="B282" s="1204"/>
      <c r="C282" s="1192"/>
      <c r="D282" s="555"/>
      <c r="E282" s="1199"/>
      <c r="F282" s="1201"/>
      <c r="G282" s="1201"/>
      <c r="H282" s="1209"/>
      <c r="I282" s="1204"/>
      <c r="J282" s="1204"/>
      <c r="K282" s="1204"/>
      <c r="L282" s="1204"/>
      <c r="M282" s="672" t="s">
        <v>124</v>
      </c>
      <c r="N282" s="1250"/>
      <c r="O282" s="551">
        <v>0</v>
      </c>
      <c r="P282" s="552">
        <v>2400</v>
      </c>
      <c r="Q282" s="549">
        <v>0</v>
      </c>
    </row>
    <row r="283" spans="2:17" s="48" customFormat="1" ht="21.75" customHeight="1" thickBot="1" x14ac:dyDescent="0.3">
      <c r="B283" s="1241"/>
      <c r="C283" s="1239"/>
      <c r="D283" s="555"/>
      <c r="E283" s="1237"/>
      <c r="F283" s="1235"/>
      <c r="G283" s="1235"/>
      <c r="H283" s="1291"/>
      <c r="I283" s="1205"/>
      <c r="J283" s="1205"/>
      <c r="K283" s="1205"/>
      <c r="L283" s="1205"/>
      <c r="M283" s="547" t="s">
        <v>745</v>
      </c>
      <c r="N283" s="681"/>
      <c r="O283" s="557">
        <v>0</v>
      </c>
      <c r="P283" s="676">
        <v>0</v>
      </c>
      <c r="Q283" s="563">
        <v>0</v>
      </c>
    </row>
    <row r="284" spans="2:17" s="48" customFormat="1" ht="21.75" customHeight="1" thickBot="1" x14ac:dyDescent="0.3">
      <c r="B284" s="1240" t="s">
        <v>64</v>
      </c>
      <c r="C284" s="1238" t="s">
        <v>291</v>
      </c>
      <c r="D284" s="555">
        <v>27302111</v>
      </c>
      <c r="E284" s="1236" t="s">
        <v>458</v>
      </c>
      <c r="F284" s="1234" t="s">
        <v>857</v>
      </c>
      <c r="G284" s="1234" t="s">
        <v>190</v>
      </c>
      <c r="H284" s="1312" t="s">
        <v>240</v>
      </c>
      <c r="I284" s="1206" t="s">
        <v>199</v>
      </c>
      <c r="J284" s="1206" t="s">
        <v>528</v>
      </c>
      <c r="K284" s="1206" t="s">
        <v>263</v>
      </c>
      <c r="L284" s="1206" t="s">
        <v>199</v>
      </c>
      <c r="M284" s="542" t="s">
        <v>122</v>
      </c>
      <c r="N284" s="1248"/>
      <c r="O284" s="551">
        <f>O285+O286</f>
        <v>0</v>
      </c>
      <c r="P284" s="551">
        <f>P285+P286</f>
        <v>450</v>
      </c>
      <c r="Q284" s="552">
        <f>Q285+Q286</f>
        <v>0</v>
      </c>
    </row>
    <row r="285" spans="2:17" s="48" customFormat="1" ht="21.75" customHeight="1" thickBot="1" x14ac:dyDescent="0.3">
      <c r="B285" s="1204"/>
      <c r="C285" s="1192"/>
      <c r="D285" s="555"/>
      <c r="E285" s="1199"/>
      <c r="F285" s="1201"/>
      <c r="G285" s="1201"/>
      <c r="H285" s="1209"/>
      <c r="I285" s="1204"/>
      <c r="J285" s="1204"/>
      <c r="K285" s="1204"/>
      <c r="L285" s="1204"/>
      <c r="M285" s="636" t="s">
        <v>123</v>
      </c>
      <c r="N285" s="1249"/>
      <c r="O285" s="561">
        <v>0</v>
      </c>
      <c r="P285" s="562">
        <v>0</v>
      </c>
      <c r="Q285" s="550">
        <v>0</v>
      </c>
    </row>
    <row r="286" spans="2:17" s="48" customFormat="1" ht="21.75" customHeight="1" thickBot="1" x14ac:dyDescent="0.3">
      <c r="B286" s="1204"/>
      <c r="C286" s="1192"/>
      <c r="D286" s="555"/>
      <c r="E286" s="1199"/>
      <c r="F286" s="1201"/>
      <c r="G286" s="1201"/>
      <c r="H286" s="1209"/>
      <c r="I286" s="1204"/>
      <c r="J286" s="1204"/>
      <c r="K286" s="1204"/>
      <c r="L286" s="1204"/>
      <c r="M286" s="672" t="s">
        <v>124</v>
      </c>
      <c r="N286" s="1250"/>
      <c r="O286" s="551">
        <v>0</v>
      </c>
      <c r="P286" s="552">
        <v>450</v>
      </c>
      <c r="Q286" s="549">
        <v>0</v>
      </c>
    </row>
    <row r="287" spans="2:17" s="48" customFormat="1" ht="21.75" customHeight="1" thickBot="1" x14ac:dyDescent="0.3">
      <c r="B287" s="1241"/>
      <c r="C287" s="1239"/>
      <c r="D287" s="555"/>
      <c r="E287" s="1237"/>
      <c r="F287" s="1235"/>
      <c r="G287" s="1235"/>
      <c r="H287" s="1291"/>
      <c r="I287" s="1205"/>
      <c r="J287" s="1205"/>
      <c r="K287" s="1205"/>
      <c r="L287" s="1205"/>
      <c r="M287" s="547" t="s">
        <v>745</v>
      </c>
      <c r="N287" s="681"/>
      <c r="O287" s="557">
        <v>0</v>
      </c>
      <c r="P287" s="676">
        <v>0</v>
      </c>
      <c r="Q287" s="563">
        <v>0</v>
      </c>
    </row>
    <row r="288" spans="2:17" s="48" customFormat="1" ht="25.5" customHeight="1" thickBot="1" x14ac:dyDescent="0.3">
      <c r="B288" s="1240" t="s">
        <v>64</v>
      </c>
      <c r="C288" s="1238" t="s">
        <v>291</v>
      </c>
      <c r="D288" s="555">
        <v>27302111</v>
      </c>
      <c r="E288" s="1236" t="s">
        <v>504</v>
      </c>
      <c r="F288" s="1234" t="s">
        <v>751</v>
      </c>
      <c r="G288" s="1234" t="s">
        <v>190</v>
      </c>
      <c r="H288" s="1312" t="s">
        <v>240</v>
      </c>
      <c r="I288" s="1206" t="s">
        <v>199</v>
      </c>
      <c r="J288" s="1206" t="s">
        <v>789</v>
      </c>
      <c r="K288" s="1206" t="s">
        <v>199</v>
      </c>
      <c r="L288" s="1206" t="s">
        <v>263</v>
      </c>
      <c r="M288" s="542" t="s">
        <v>122</v>
      </c>
      <c r="N288" s="1248"/>
      <c r="O288" s="551">
        <f>O289+O290</f>
        <v>0</v>
      </c>
      <c r="P288" s="551">
        <f>P289+P290</f>
        <v>0</v>
      </c>
      <c r="Q288" s="552">
        <f>Q289+Q290</f>
        <v>6000</v>
      </c>
    </row>
    <row r="289" spans="2:17" s="48" customFormat="1" ht="21.75" customHeight="1" thickBot="1" x14ac:dyDescent="0.3">
      <c r="B289" s="1204"/>
      <c r="C289" s="1192"/>
      <c r="D289" s="555"/>
      <c r="E289" s="1199"/>
      <c r="F289" s="1201"/>
      <c r="G289" s="1201"/>
      <c r="H289" s="1209"/>
      <c r="I289" s="1204"/>
      <c r="J289" s="1204"/>
      <c r="K289" s="1204"/>
      <c r="L289" s="1204"/>
      <c r="M289" s="636" t="s">
        <v>123</v>
      </c>
      <c r="N289" s="1249"/>
      <c r="O289" s="561">
        <v>0</v>
      </c>
      <c r="P289" s="562">
        <v>0</v>
      </c>
      <c r="Q289" s="550">
        <v>0</v>
      </c>
    </row>
    <row r="290" spans="2:17" s="48" customFormat="1" ht="21.75" customHeight="1" thickBot="1" x14ac:dyDescent="0.3">
      <c r="B290" s="1204"/>
      <c r="C290" s="1192"/>
      <c r="D290" s="555"/>
      <c r="E290" s="1199"/>
      <c r="F290" s="1201"/>
      <c r="G290" s="1201"/>
      <c r="H290" s="1209"/>
      <c r="I290" s="1204"/>
      <c r="J290" s="1204"/>
      <c r="K290" s="1204"/>
      <c r="L290" s="1204"/>
      <c r="M290" s="672" t="s">
        <v>124</v>
      </c>
      <c r="N290" s="1250"/>
      <c r="O290" s="551">
        <v>0</v>
      </c>
      <c r="P290" s="552">
        <v>0</v>
      </c>
      <c r="Q290" s="549">
        <v>6000</v>
      </c>
    </row>
    <row r="291" spans="2:17" s="48" customFormat="1" ht="21.75" customHeight="1" thickBot="1" x14ac:dyDescent="0.3">
      <c r="B291" s="1241"/>
      <c r="C291" s="1239"/>
      <c r="D291" s="555"/>
      <c r="E291" s="1237"/>
      <c r="F291" s="1235"/>
      <c r="G291" s="1235"/>
      <c r="H291" s="1291"/>
      <c r="I291" s="1205"/>
      <c r="J291" s="1205"/>
      <c r="K291" s="1205"/>
      <c r="L291" s="1205"/>
      <c r="M291" s="547" t="s">
        <v>745</v>
      </c>
      <c r="N291" s="681"/>
      <c r="O291" s="557">
        <v>0</v>
      </c>
      <c r="P291" s="676">
        <v>0</v>
      </c>
      <c r="Q291" s="563">
        <v>0</v>
      </c>
    </row>
    <row r="292" spans="2:17" s="48" customFormat="1" ht="33.75" customHeight="1" thickBot="1" x14ac:dyDescent="0.3">
      <c r="B292" s="1240" t="s">
        <v>64</v>
      </c>
      <c r="C292" s="1238" t="s">
        <v>291</v>
      </c>
      <c r="D292" s="555">
        <v>27302170</v>
      </c>
      <c r="E292" s="1236" t="s">
        <v>200</v>
      </c>
      <c r="F292" s="1234" t="s">
        <v>854</v>
      </c>
      <c r="G292" s="1207" t="s">
        <v>190</v>
      </c>
      <c r="H292" s="1232" t="s">
        <v>240</v>
      </c>
      <c r="I292" s="1206" t="s">
        <v>199</v>
      </c>
      <c r="J292" s="1206" t="s">
        <v>789</v>
      </c>
      <c r="K292" s="1206" t="s">
        <v>199</v>
      </c>
      <c r="L292" s="1206" t="s">
        <v>263</v>
      </c>
      <c r="M292" s="542" t="s">
        <v>122</v>
      </c>
      <c r="N292" s="1248"/>
      <c r="O292" s="551">
        <f>O293+O294</f>
        <v>0</v>
      </c>
      <c r="P292" s="551">
        <f>P293+P294</f>
        <v>0</v>
      </c>
      <c r="Q292" s="552">
        <f>Q293+Q294</f>
        <v>27690.41</v>
      </c>
    </row>
    <row r="293" spans="2:17" s="48" customFormat="1" ht="21.75" customHeight="1" thickBot="1" x14ac:dyDescent="0.3">
      <c r="B293" s="1204"/>
      <c r="C293" s="1192"/>
      <c r="D293" s="555"/>
      <c r="E293" s="1199"/>
      <c r="F293" s="1201"/>
      <c r="G293" s="1199"/>
      <c r="H293" s="1209"/>
      <c r="I293" s="1204"/>
      <c r="J293" s="1204"/>
      <c r="K293" s="1204"/>
      <c r="L293" s="1204"/>
      <c r="M293" s="636" t="s">
        <v>123</v>
      </c>
      <c r="N293" s="1249"/>
      <c r="O293" s="561">
        <v>0</v>
      </c>
      <c r="P293" s="562">
        <v>0</v>
      </c>
      <c r="Q293" s="550">
        <v>0</v>
      </c>
    </row>
    <row r="294" spans="2:17" s="48" customFormat="1" ht="21.75" customHeight="1" thickBot="1" x14ac:dyDescent="0.3">
      <c r="B294" s="1204"/>
      <c r="C294" s="1192"/>
      <c r="D294" s="555"/>
      <c r="E294" s="1199"/>
      <c r="F294" s="1201"/>
      <c r="G294" s="1199"/>
      <c r="H294" s="1209"/>
      <c r="I294" s="1204"/>
      <c r="J294" s="1204"/>
      <c r="K294" s="1204"/>
      <c r="L294" s="1204"/>
      <c r="M294" s="672" t="s">
        <v>124</v>
      </c>
      <c r="N294" s="1250"/>
      <c r="O294" s="551">
        <v>0</v>
      </c>
      <c r="P294" s="552">
        <v>0</v>
      </c>
      <c r="Q294" s="549">
        <v>27690.41</v>
      </c>
    </row>
    <row r="295" spans="2:17" s="48" customFormat="1" ht="21.75" customHeight="1" thickBot="1" x14ac:dyDescent="0.3">
      <c r="B295" s="1241"/>
      <c r="C295" s="1239"/>
      <c r="D295" s="555"/>
      <c r="E295" s="1237"/>
      <c r="F295" s="1235"/>
      <c r="G295" s="1208"/>
      <c r="H295" s="1210"/>
      <c r="I295" s="1205"/>
      <c r="J295" s="1205"/>
      <c r="K295" s="1205"/>
      <c r="L295" s="1205"/>
      <c r="M295" s="547" t="s">
        <v>745</v>
      </c>
      <c r="N295" s="681"/>
      <c r="O295" s="557">
        <v>0</v>
      </c>
      <c r="P295" s="676">
        <v>0</v>
      </c>
      <c r="Q295" s="563">
        <v>0</v>
      </c>
    </row>
    <row r="296" spans="2:17" s="48" customFormat="1" ht="21.75" customHeight="1" thickBot="1" x14ac:dyDescent="0.3">
      <c r="B296" s="1240" t="s">
        <v>64</v>
      </c>
      <c r="C296" s="1238" t="s">
        <v>291</v>
      </c>
      <c r="D296" s="555">
        <v>27302170</v>
      </c>
      <c r="E296" s="1236" t="s">
        <v>204</v>
      </c>
      <c r="F296" s="1234" t="s">
        <v>855</v>
      </c>
      <c r="G296" s="1234" t="s">
        <v>190</v>
      </c>
      <c r="H296" s="1312" t="s">
        <v>240</v>
      </c>
      <c r="I296" s="1206" t="s">
        <v>199</v>
      </c>
      <c r="J296" s="1206" t="s">
        <v>789</v>
      </c>
      <c r="K296" s="1206" t="s">
        <v>199</v>
      </c>
      <c r="L296" s="1206" t="s">
        <v>263</v>
      </c>
      <c r="M296" s="542" t="s">
        <v>122</v>
      </c>
      <c r="N296" s="1248"/>
      <c r="O296" s="551">
        <f>O297+O298</f>
        <v>0</v>
      </c>
      <c r="P296" s="551">
        <f>P297+P298</f>
        <v>0</v>
      </c>
      <c r="Q296" s="552">
        <f>Q297+Q298</f>
        <v>1687</v>
      </c>
    </row>
    <row r="297" spans="2:17" s="48" customFormat="1" ht="21.75" customHeight="1" thickBot="1" x14ac:dyDescent="0.3">
      <c r="B297" s="1204"/>
      <c r="C297" s="1192"/>
      <c r="D297" s="555"/>
      <c r="E297" s="1199"/>
      <c r="F297" s="1201"/>
      <c r="G297" s="1201"/>
      <c r="H297" s="1209"/>
      <c r="I297" s="1204"/>
      <c r="J297" s="1204"/>
      <c r="K297" s="1204"/>
      <c r="L297" s="1204"/>
      <c r="M297" s="636" t="s">
        <v>123</v>
      </c>
      <c r="N297" s="1249"/>
      <c r="O297" s="561">
        <v>0</v>
      </c>
      <c r="P297" s="562">
        <v>0</v>
      </c>
      <c r="Q297" s="550">
        <v>0</v>
      </c>
    </row>
    <row r="298" spans="2:17" s="48" customFormat="1" ht="21.75" customHeight="1" thickBot="1" x14ac:dyDescent="0.3">
      <c r="B298" s="1204"/>
      <c r="C298" s="1192"/>
      <c r="D298" s="555"/>
      <c r="E298" s="1199"/>
      <c r="F298" s="1201"/>
      <c r="G298" s="1201"/>
      <c r="H298" s="1209"/>
      <c r="I298" s="1204"/>
      <c r="J298" s="1204"/>
      <c r="K298" s="1204"/>
      <c r="L298" s="1204"/>
      <c r="M298" s="672" t="s">
        <v>124</v>
      </c>
      <c r="N298" s="1250"/>
      <c r="O298" s="551">
        <v>0</v>
      </c>
      <c r="P298" s="552">
        <v>0</v>
      </c>
      <c r="Q298" s="549">
        <v>1687</v>
      </c>
    </row>
    <row r="299" spans="2:17" s="48" customFormat="1" ht="21.75" customHeight="1" thickBot="1" x14ac:dyDescent="0.3">
      <c r="B299" s="1241"/>
      <c r="C299" s="1239"/>
      <c r="D299" s="555"/>
      <c r="E299" s="1237"/>
      <c r="F299" s="1235"/>
      <c r="G299" s="1235"/>
      <c r="H299" s="1291"/>
      <c r="I299" s="1205"/>
      <c r="J299" s="1205"/>
      <c r="K299" s="1205"/>
      <c r="L299" s="1205"/>
      <c r="M299" s="547" t="s">
        <v>745</v>
      </c>
      <c r="N299" s="681"/>
      <c r="O299" s="557">
        <v>0</v>
      </c>
      <c r="P299" s="676">
        <v>0</v>
      </c>
      <c r="Q299" s="563">
        <v>0</v>
      </c>
    </row>
    <row r="300" spans="2:17" s="48" customFormat="1" ht="21.75" customHeight="1" thickBot="1" x14ac:dyDescent="0.3">
      <c r="B300" s="1240" t="s">
        <v>64</v>
      </c>
      <c r="C300" s="1238" t="s">
        <v>291</v>
      </c>
      <c r="D300" s="555">
        <v>27302170</v>
      </c>
      <c r="E300" s="1236" t="s">
        <v>383</v>
      </c>
      <c r="F300" s="1234" t="s">
        <v>853</v>
      </c>
      <c r="G300" s="1234" t="s">
        <v>190</v>
      </c>
      <c r="H300" s="1312" t="s">
        <v>240</v>
      </c>
      <c r="I300" s="1206" t="s">
        <v>199</v>
      </c>
      <c r="J300" s="1206" t="s">
        <v>789</v>
      </c>
      <c r="K300" s="1206" t="s">
        <v>199</v>
      </c>
      <c r="L300" s="1206" t="s">
        <v>263</v>
      </c>
      <c r="M300" s="542" t="s">
        <v>122</v>
      </c>
      <c r="N300" s="1248"/>
      <c r="O300" s="551">
        <f>O301+O302</f>
        <v>0</v>
      </c>
      <c r="P300" s="551">
        <f>P301+P302</f>
        <v>0</v>
      </c>
      <c r="Q300" s="552">
        <f>Q301+Q302</f>
        <v>1800</v>
      </c>
    </row>
    <row r="301" spans="2:17" s="48" customFormat="1" ht="21.75" customHeight="1" thickBot="1" x14ac:dyDescent="0.3">
      <c r="B301" s="1204"/>
      <c r="C301" s="1192"/>
      <c r="D301" s="555"/>
      <c r="E301" s="1199"/>
      <c r="F301" s="1201"/>
      <c r="G301" s="1201"/>
      <c r="H301" s="1209"/>
      <c r="I301" s="1204"/>
      <c r="J301" s="1204"/>
      <c r="K301" s="1204"/>
      <c r="L301" s="1204"/>
      <c r="M301" s="636" t="s">
        <v>123</v>
      </c>
      <c r="N301" s="1249"/>
      <c r="O301" s="561">
        <v>0</v>
      </c>
      <c r="P301" s="562">
        <v>0</v>
      </c>
      <c r="Q301" s="550">
        <v>0</v>
      </c>
    </row>
    <row r="302" spans="2:17" s="48" customFormat="1" ht="21.75" customHeight="1" thickBot="1" x14ac:dyDescent="0.3">
      <c r="B302" s="1204"/>
      <c r="C302" s="1192"/>
      <c r="D302" s="555"/>
      <c r="E302" s="1199"/>
      <c r="F302" s="1201"/>
      <c r="G302" s="1201"/>
      <c r="H302" s="1209"/>
      <c r="I302" s="1204"/>
      <c r="J302" s="1204"/>
      <c r="K302" s="1204"/>
      <c r="L302" s="1204"/>
      <c r="M302" s="672" t="s">
        <v>124</v>
      </c>
      <c r="N302" s="1250"/>
      <c r="O302" s="551">
        <v>0</v>
      </c>
      <c r="P302" s="552">
        <v>0</v>
      </c>
      <c r="Q302" s="549">
        <v>1800</v>
      </c>
    </row>
    <row r="303" spans="2:17" s="48" customFormat="1" ht="21.75" customHeight="1" thickBot="1" x14ac:dyDescent="0.3">
      <c r="B303" s="1241"/>
      <c r="C303" s="1239"/>
      <c r="D303" s="555"/>
      <c r="E303" s="1237"/>
      <c r="F303" s="1235"/>
      <c r="G303" s="1235"/>
      <c r="H303" s="1291"/>
      <c r="I303" s="1205"/>
      <c r="J303" s="1205"/>
      <c r="K303" s="1205"/>
      <c r="L303" s="1205"/>
      <c r="M303" s="547" t="s">
        <v>745</v>
      </c>
      <c r="N303" s="681"/>
      <c r="O303" s="557">
        <v>0</v>
      </c>
      <c r="P303" s="676">
        <v>0</v>
      </c>
      <c r="Q303" s="563">
        <v>0</v>
      </c>
    </row>
    <row r="304" spans="2:17" s="48" customFormat="1" ht="21.75" customHeight="1" thickBot="1" x14ac:dyDescent="0.3">
      <c r="B304" s="1240" t="s">
        <v>64</v>
      </c>
      <c r="C304" s="1238" t="s">
        <v>291</v>
      </c>
      <c r="D304" s="555">
        <v>27302111</v>
      </c>
      <c r="E304" s="1236" t="s">
        <v>458</v>
      </c>
      <c r="F304" s="1234" t="s">
        <v>856</v>
      </c>
      <c r="G304" s="1234" t="s">
        <v>846</v>
      </c>
      <c r="H304" s="1312" t="s">
        <v>240</v>
      </c>
      <c r="I304" s="1236">
        <v>1</v>
      </c>
      <c r="J304" s="1207" t="s">
        <v>462</v>
      </c>
      <c r="K304" s="1206" t="s">
        <v>199</v>
      </c>
      <c r="L304" s="1206" t="s">
        <v>199</v>
      </c>
      <c r="M304" s="542" t="s">
        <v>122</v>
      </c>
      <c r="N304" s="1248"/>
      <c r="O304" s="551">
        <f>O305+O306</f>
        <v>0</v>
      </c>
      <c r="P304" s="551">
        <f>P305+P306</f>
        <v>0</v>
      </c>
      <c r="Q304" s="552">
        <f>Q305+Q306</f>
        <v>8398</v>
      </c>
    </row>
    <row r="305" spans="2:22" s="48" customFormat="1" ht="21.75" customHeight="1" thickBot="1" x14ac:dyDescent="0.3">
      <c r="B305" s="1204"/>
      <c r="C305" s="1192"/>
      <c r="D305" s="555"/>
      <c r="E305" s="1199"/>
      <c r="F305" s="1201"/>
      <c r="G305" s="1201"/>
      <c r="H305" s="1209"/>
      <c r="I305" s="1199"/>
      <c r="J305" s="1199"/>
      <c r="K305" s="1204"/>
      <c r="L305" s="1204"/>
      <c r="M305" s="636" t="s">
        <v>123</v>
      </c>
      <c r="N305" s="1249"/>
      <c r="O305" s="561">
        <v>0</v>
      </c>
      <c r="P305" s="562">
        <v>0</v>
      </c>
      <c r="Q305" s="550">
        <v>0</v>
      </c>
    </row>
    <row r="306" spans="2:22" s="48" customFormat="1" ht="21.75" customHeight="1" thickBot="1" x14ac:dyDescent="0.3">
      <c r="B306" s="1204"/>
      <c r="C306" s="1192"/>
      <c r="D306" s="555"/>
      <c r="E306" s="1199"/>
      <c r="F306" s="1201"/>
      <c r="G306" s="1201"/>
      <c r="H306" s="1209"/>
      <c r="I306" s="1199"/>
      <c r="J306" s="1199"/>
      <c r="K306" s="1204"/>
      <c r="L306" s="1204"/>
      <c r="M306" s="672" t="s">
        <v>124</v>
      </c>
      <c r="N306" s="1250"/>
      <c r="O306" s="551">
        <v>0</v>
      </c>
      <c r="P306" s="552">
        <v>0</v>
      </c>
      <c r="Q306" s="549">
        <v>8398</v>
      </c>
    </row>
    <row r="307" spans="2:22" s="48" customFormat="1" ht="21.75" customHeight="1" thickBot="1" x14ac:dyDescent="0.3">
      <c r="B307" s="1241"/>
      <c r="C307" s="1239"/>
      <c r="D307" s="555"/>
      <c r="E307" s="1237"/>
      <c r="F307" s="1235"/>
      <c r="G307" s="1235"/>
      <c r="H307" s="1291"/>
      <c r="I307" s="1237"/>
      <c r="J307" s="1208"/>
      <c r="K307" s="1204"/>
      <c r="L307" s="1204"/>
      <c r="M307" s="547" t="s">
        <v>745</v>
      </c>
      <c r="N307" s="681"/>
      <c r="O307" s="557">
        <v>0</v>
      </c>
      <c r="P307" s="676">
        <v>0</v>
      </c>
      <c r="Q307" s="563">
        <v>0</v>
      </c>
    </row>
    <row r="308" spans="2:22" ht="27.75" customHeight="1" thickBot="1" x14ac:dyDescent="0.3">
      <c r="B308" s="1240" t="s">
        <v>64</v>
      </c>
      <c r="C308" s="1238" t="s">
        <v>295</v>
      </c>
      <c r="D308" s="555" t="s">
        <v>116</v>
      </c>
      <c r="E308" s="1236" t="s">
        <v>116</v>
      </c>
      <c r="F308" s="1234" t="s">
        <v>280</v>
      </c>
      <c r="G308" s="1236" t="s">
        <v>116</v>
      </c>
      <c r="H308" s="1312" t="s">
        <v>116</v>
      </c>
      <c r="I308" s="1236" t="s">
        <v>116</v>
      </c>
      <c r="J308" s="1236" t="s">
        <v>116</v>
      </c>
      <c r="K308" s="1236" t="s">
        <v>116</v>
      </c>
      <c r="L308" s="1236" t="s">
        <v>116</v>
      </c>
      <c r="M308" s="542" t="s">
        <v>122</v>
      </c>
      <c r="N308" s="543"/>
      <c r="O308" s="544">
        <f t="shared" ref="O308:Q311" si="7">O312+O316+O320+O324+O328+O336+O340+O344+O332</f>
        <v>1489.45</v>
      </c>
      <c r="P308" s="544">
        <f t="shared" si="7"/>
        <v>0</v>
      </c>
      <c r="Q308" s="675">
        <f t="shared" si="7"/>
        <v>0</v>
      </c>
      <c r="R308" s="48"/>
      <c r="S308" s="48"/>
      <c r="T308" s="48"/>
      <c r="U308" s="48"/>
      <c r="V308" s="48"/>
    </row>
    <row r="309" spans="2:22" ht="24" customHeight="1" thickBot="1" x14ac:dyDescent="0.3">
      <c r="B309" s="1204"/>
      <c r="C309" s="1192"/>
      <c r="D309" s="555"/>
      <c r="E309" s="1199"/>
      <c r="F309" s="1201"/>
      <c r="G309" s="1199"/>
      <c r="H309" s="1209"/>
      <c r="I309" s="1199"/>
      <c r="J309" s="1199"/>
      <c r="K309" s="1199"/>
      <c r="L309" s="1199"/>
      <c r="M309" s="636" t="s">
        <v>123</v>
      </c>
      <c r="N309" s="549"/>
      <c r="O309" s="544">
        <f t="shared" si="7"/>
        <v>0</v>
      </c>
      <c r="P309" s="544">
        <f t="shared" si="7"/>
        <v>0</v>
      </c>
      <c r="Q309" s="675">
        <f t="shared" si="7"/>
        <v>0</v>
      </c>
      <c r="R309" s="48"/>
      <c r="S309" s="48"/>
      <c r="T309" s="48"/>
      <c r="U309" s="48"/>
      <c r="V309" s="48"/>
    </row>
    <row r="310" spans="2:22" ht="22.5" customHeight="1" thickBot="1" x14ac:dyDescent="0.3">
      <c r="B310" s="1204"/>
      <c r="C310" s="1192"/>
      <c r="D310" s="555"/>
      <c r="E310" s="1199"/>
      <c r="F310" s="1201"/>
      <c r="G310" s="1199"/>
      <c r="H310" s="1209"/>
      <c r="I310" s="1199"/>
      <c r="J310" s="1199"/>
      <c r="K310" s="1199"/>
      <c r="L310" s="1199"/>
      <c r="M310" s="672" t="s">
        <v>124</v>
      </c>
      <c r="N310" s="550"/>
      <c r="O310" s="544">
        <f t="shared" si="7"/>
        <v>1489.45</v>
      </c>
      <c r="P310" s="544">
        <f t="shared" si="7"/>
        <v>0</v>
      </c>
      <c r="Q310" s="675">
        <f t="shared" si="7"/>
        <v>0</v>
      </c>
      <c r="R310" s="48"/>
      <c r="S310" s="48"/>
      <c r="T310" s="48"/>
      <c r="U310" s="48"/>
      <c r="V310" s="48"/>
    </row>
    <row r="311" spans="2:22" ht="24" customHeight="1" thickBot="1" x14ac:dyDescent="0.3">
      <c r="B311" s="1241"/>
      <c r="C311" s="1239"/>
      <c r="D311" s="555"/>
      <c r="E311" s="1237"/>
      <c r="F311" s="1235"/>
      <c r="G311" s="1237"/>
      <c r="H311" s="1291"/>
      <c r="I311" s="1237"/>
      <c r="J311" s="1237"/>
      <c r="K311" s="1237"/>
      <c r="L311" s="1237"/>
      <c r="M311" s="547" t="s">
        <v>745</v>
      </c>
      <c r="N311" s="549"/>
      <c r="O311" s="544">
        <f t="shared" si="7"/>
        <v>14160.663</v>
      </c>
      <c r="P311" s="544">
        <f t="shared" si="7"/>
        <v>0</v>
      </c>
      <c r="Q311" s="675">
        <f t="shared" si="7"/>
        <v>0</v>
      </c>
      <c r="R311" s="48"/>
      <c r="S311" s="48"/>
      <c r="T311" s="48"/>
      <c r="U311" s="48"/>
      <c r="V311" s="48"/>
    </row>
    <row r="312" spans="2:22" ht="34.5" customHeight="1" thickBot="1" x14ac:dyDescent="0.3">
      <c r="B312" s="1240" t="s">
        <v>64</v>
      </c>
      <c r="C312" s="1238" t="s">
        <v>295</v>
      </c>
      <c r="D312" s="555">
        <v>27301830</v>
      </c>
      <c r="E312" s="1236" t="s">
        <v>458</v>
      </c>
      <c r="F312" s="1200" t="s">
        <v>756</v>
      </c>
      <c r="G312" s="1200" t="s">
        <v>640</v>
      </c>
      <c r="H312" s="1312" t="s">
        <v>240</v>
      </c>
      <c r="I312" s="1236" t="s">
        <v>374</v>
      </c>
      <c r="J312" s="1240" t="s">
        <v>462</v>
      </c>
      <c r="K312" s="1206" t="s">
        <v>199</v>
      </c>
      <c r="L312" s="1206" t="s">
        <v>199</v>
      </c>
      <c r="M312" s="542" t="s">
        <v>122</v>
      </c>
      <c r="N312" s="543"/>
      <c r="O312" s="544">
        <f>O313+O314</f>
        <v>0</v>
      </c>
      <c r="P312" s="544">
        <f>P313+P314</f>
        <v>0</v>
      </c>
      <c r="Q312" s="675">
        <f>Q313+Q314</f>
        <v>0</v>
      </c>
      <c r="R312" s="48"/>
      <c r="S312" s="48"/>
      <c r="T312" s="48"/>
      <c r="U312" s="48"/>
      <c r="V312" s="48"/>
    </row>
    <row r="313" spans="2:22" ht="23.25" customHeight="1" thickBot="1" x14ac:dyDescent="0.3">
      <c r="B313" s="1204"/>
      <c r="C313" s="1192"/>
      <c r="D313" s="555"/>
      <c r="E313" s="1199"/>
      <c r="F313" s="1201"/>
      <c r="G313" s="1201"/>
      <c r="H313" s="1209"/>
      <c r="I313" s="1199"/>
      <c r="J313" s="1204"/>
      <c r="K313" s="1204"/>
      <c r="L313" s="1204"/>
      <c r="M313" s="636" t="s">
        <v>123</v>
      </c>
      <c r="N313" s="549"/>
      <c r="O313" s="544">
        <v>0</v>
      </c>
      <c r="P313" s="544">
        <v>0</v>
      </c>
      <c r="Q313" s="675">
        <v>0</v>
      </c>
      <c r="R313" s="48"/>
      <c r="S313" s="48"/>
      <c r="T313" s="48"/>
      <c r="U313" s="48"/>
      <c r="V313" s="48"/>
    </row>
    <row r="314" spans="2:22" ht="21.75" customHeight="1" thickBot="1" x14ac:dyDescent="0.3">
      <c r="B314" s="1204"/>
      <c r="C314" s="1192"/>
      <c r="D314" s="555"/>
      <c r="E314" s="1199"/>
      <c r="F314" s="1201"/>
      <c r="G314" s="1201"/>
      <c r="H314" s="1209"/>
      <c r="I314" s="1199"/>
      <c r="J314" s="1204"/>
      <c r="K314" s="1204"/>
      <c r="L314" s="1204"/>
      <c r="M314" s="672" t="s">
        <v>124</v>
      </c>
      <c r="N314" s="550"/>
      <c r="O314" s="544">
        <v>0</v>
      </c>
      <c r="P314" s="544">
        <v>0</v>
      </c>
      <c r="Q314" s="675">
        <v>0</v>
      </c>
      <c r="R314" s="48"/>
      <c r="S314" s="48"/>
      <c r="T314" s="48"/>
      <c r="U314" s="48"/>
      <c r="V314" s="48"/>
    </row>
    <row r="315" spans="2:22" ht="20.25" customHeight="1" thickBot="1" x14ac:dyDescent="0.3">
      <c r="B315" s="1241"/>
      <c r="C315" s="1239"/>
      <c r="D315" s="555"/>
      <c r="E315" s="1237"/>
      <c r="F315" s="1202"/>
      <c r="G315" s="1202"/>
      <c r="H315" s="1291"/>
      <c r="I315" s="1237"/>
      <c r="J315" s="1241"/>
      <c r="K315" s="1204"/>
      <c r="L315" s="1204"/>
      <c r="M315" s="547" t="s">
        <v>745</v>
      </c>
      <c r="N315" s="549"/>
      <c r="O315" s="551">
        <v>72.623999999999995</v>
      </c>
      <c r="P315" s="551">
        <v>0</v>
      </c>
      <c r="Q315" s="552">
        <v>0</v>
      </c>
      <c r="R315" s="48"/>
      <c r="S315" s="48"/>
      <c r="T315" s="48"/>
      <c r="U315" s="48"/>
      <c r="V315" s="48"/>
    </row>
    <row r="316" spans="2:22" ht="25.5" customHeight="1" thickBot="1" x14ac:dyDescent="0.3">
      <c r="B316" s="1240" t="s">
        <v>64</v>
      </c>
      <c r="C316" s="1238" t="s">
        <v>295</v>
      </c>
      <c r="D316" s="555">
        <v>27301830</v>
      </c>
      <c r="E316" s="1236" t="s">
        <v>458</v>
      </c>
      <c r="F316" s="1200" t="s">
        <v>690</v>
      </c>
      <c r="G316" s="1200" t="s">
        <v>692</v>
      </c>
      <c r="H316" s="1312" t="s">
        <v>240</v>
      </c>
      <c r="I316" s="1236" t="s">
        <v>263</v>
      </c>
      <c r="J316" s="1240" t="s">
        <v>462</v>
      </c>
      <c r="K316" s="1206" t="s">
        <v>199</v>
      </c>
      <c r="L316" s="1206" t="s">
        <v>199</v>
      </c>
      <c r="M316" s="542" t="s">
        <v>122</v>
      </c>
      <c r="N316" s="543"/>
      <c r="O316" s="544">
        <f>O317+O318</f>
        <v>0</v>
      </c>
      <c r="P316" s="544">
        <f>P317+P318</f>
        <v>0</v>
      </c>
      <c r="Q316" s="675">
        <f>Q317+Q318</f>
        <v>0</v>
      </c>
      <c r="R316" s="48"/>
      <c r="S316" s="48"/>
      <c r="T316" s="48"/>
      <c r="U316" s="48"/>
      <c r="V316" s="48"/>
    </row>
    <row r="317" spans="2:22" ht="21" customHeight="1" thickBot="1" x14ac:dyDescent="0.3">
      <c r="B317" s="1204"/>
      <c r="C317" s="1192"/>
      <c r="D317" s="555"/>
      <c r="E317" s="1199"/>
      <c r="F317" s="1201"/>
      <c r="G317" s="1201"/>
      <c r="H317" s="1209"/>
      <c r="I317" s="1199"/>
      <c r="J317" s="1204"/>
      <c r="K317" s="1204"/>
      <c r="L317" s="1204"/>
      <c r="M317" s="636" t="s">
        <v>123</v>
      </c>
      <c r="N317" s="549"/>
      <c r="O317" s="544">
        <v>0</v>
      </c>
      <c r="P317" s="544">
        <v>0</v>
      </c>
      <c r="Q317" s="675">
        <v>0</v>
      </c>
      <c r="R317" s="48"/>
      <c r="S317" s="48"/>
      <c r="T317" s="48"/>
      <c r="U317" s="48"/>
      <c r="V317" s="48"/>
    </row>
    <row r="318" spans="2:22" ht="22.5" customHeight="1" thickBot="1" x14ac:dyDescent="0.3">
      <c r="B318" s="1204"/>
      <c r="C318" s="1192"/>
      <c r="D318" s="555"/>
      <c r="E318" s="1199"/>
      <c r="F318" s="1201"/>
      <c r="G318" s="1201"/>
      <c r="H318" s="1209"/>
      <c r="I318" s="1199"/>
      <c r="J318" s="1204"/>
      <c r="K318" s="1204"/>
      <c r="L318" s="1204"/>
      <c r="M318" s="672" t="s">
        <v>124</v>
      </c>
      <c r="N318" s="550"/>
      <c r="O318" s="544">
        <v>0</v>
      </c>
      <c r="P318" s="544">
        <v>0</v>
      </c>
      <c r="Q318" s="675">
        <v>0</v>
      </c>
      <c r="R318" s="48"/>
      <c r="S318" s="48"/>
      <c r="T318" s="48"/>
      <c r="U318" s="48"/>
      <c r="V318" s="48"/>
    </row>
    <row r="319" spans="2:22" ht="21" customHeight="1" thickBot="1" x14ac:dyDescent="0.3">
      <c r="B319" s="1241"/>
      <c r="C319" s="1239"/>
      <c r="D319" s="555"/>
      <c r="E319" s="1237"/>
      <c r="F319" s="1235"/>
      <c r="G319" s="1235"/>
      <c r="H319" s="1291"/>
      <c r="I319" s="1237"/>
      <c r="J319" s="1241"/>
      <c r="K319" s="1204"/>
      <c r="L319" s="1204"/>
      <c r="M319" s="547" t="s">
        <v>745</v>
      </c>
      <c r="N319" s="549"/>
      <c r="O319" s="551">
        <v>80</v>
      </c>
      <c r="P319" s="551">
        <v>0</v>
      </c>
      <c r="Q319" s="552">
        <v>0</v>
      </c>
      <c r="R319" s="48"/>
      <c r="S319" s="48"/>
      <c r="T319" s="48"/>
      <c r="U319" s="48"/>
      <c r="V319" s="48"/>
    </row>
    <row r="320" spans="2:22" ht="25.5" customHeight="1" thickBot="1" x14ac:dyDescent="0.3">
      <c r="B320" s="1240" t="s">
        <v>64</v>
      </c>
      <c r="C320" s="1238" t="s">
        <v>295</v>
      </c>
      <c r="D320" s="555">
        <v>27301830</v>
      </c>
      <c r="E320" s="1236" t="s">
        <v>458</v>
      </c>
      <c r="F320" s="1234" t="s">
        <v>757</v>
      </c>
      <c r="G320" s="1234" t="s">
        <v>755</v>
      </c>
      <c r="H320" s="1312" t="s">
        <v>240</v>
      </c>
      <c r="I320" s="1236">
        <v>8</v>
      </c>
      <c r="J320" s="1240" t="s">
        <v>462</v>
      </c>
      <c r="K320" s="1206" t="s">
        <v>199</v>
      </c>
      <c r="L320" s="1206" t="s">
        <v>199</v>
      </c>
      <c r="M320" s="542" t="s">
        <v>122</v>
      </c>
      <c r="N320" s="543"/>
      <c r="O320" s="544">
        <f>O321+O322</f>
        <v>0</v>
      </c>
      <c r="P320" s="544">
        <f>P321+P322</f>
        <v>0</v>
      </c>
      <c r="Q320" s="675">
        <f>Q321+Q322</f>
        <v>0</v>
      </c>
      <c r="R320" s="48"/>
      <c r="S320" s="48"/>
      <c r="T320" s="48"/>
      <c r="U320" s="48"/>
      <c r="V320" s="48"/>
    </row>
    <row r="321" spans="2:22" ht="27" customHeight="1" thickBot="1" x14ac:dyDescent="0.3">
      <c r="B321" s="1204"/>
      <c r="C321" s="1192"/>
      <c r="D321" s="555"/>
      <c r="E321" s="1199"/>
      <c r="F321" s="1201"/>
      <c r="G321" s="1201"/>
      <c r="H321" s="1209"/>
      <c r="I321" s="1199"/>
      <c r="J321" s="1204"/>
      <c r="K321" s="1204"/>
      <c r="L321" s="1204"/>
      <c r="M321" s="636" t="s">
        <v>123</v>
      </c>
      <c r="N321" s="549"/>
      <c r="O321" s="544">
        <v>0</v>
      </c>
      <c r="P321" s="544">
        <v>0</v>
      </c>
      <c r="Q321" s="675">
        <v>0</v>
      </c>
      <c r="R321" s="48"/>
      <c r="S321" s="48"/>
      <c r="T321" s="48"/>
      <c r="U321" s="48"/>
      <c r="V321" s="48"/>
    </row>
    <row r="322" spans="2:22" ht="23.25" customHeight="1" thickBot="1" x14ac:dyDescent="0.3">
      <c r="B322" s="1204"/>
      <c r="C322" s="1192"/>
      <c r="D322" s="555"/>
      <c r="E322" s="1199"/>
      <c r="F322" s="1201"/>
      <c r="G322" s="1201"/>
      <c r="H322" s="1209"/>
      <c r="I322" s="1199"/>
      <c r="J322" s="1204"/>
      <c r="K322" s="1204"/>
      <c r="L322" s="1204"/>
      <c r="M322" s="672" t="s">
        <v>124</v>
      </c>
      <c r="N322" s="550"/>
      <c r="O322" s="544">
        <v>0</v>
      </c>
      <c r="P322" s="544">
        <v>0</v>
      </c>
      <c r="Q322" s="675">
        <v>0</v>
      </c>
      <c r="R322" s="48"/>
      <c r="S322" s="48"/>
      <c r="T322" s="48"/>
      <c r="U322" s="48"/>
      <c r="V322" s="48"/>
    </row>
    <row r="323" spans="2:22" ht="25.5" customHeight="1" thickBot="1" x14ac:dyDescent="0.3">
      <c r="B323" s="1241"/>
      <c r="C323" s="1239"/>
      <c r="D323" s="555"/>
      <c r="E323" s="1237"/>
      <c r="F323" s="1235"/>
      <c r="G323" s="1235"/>
      <c r="H323" s="1291"/>
      <c r="I323" s="1237"/>
      <c r="J323" s="1241"/>
      <c r="K323" s="1204"/>
      <c r="L323" s="1204"/>
      <c r="M323" s="547" t="s">
        <v>745</v>
      </c>
      <c r="N323" s="549"/>
      <c r="O323" s="551">
        <v>736.29399999999998</v>
      </c>
      <c r="P323" s="551">
        <v>0</v>
      </c>
      <c r="Q323" s="552">
        <v>0</v>
      </c>
      <c r="R323" s="48"/>
      <c r="S323" s="48"/>
      <c r="T323" s="48"/>
      <c r="U323" s="48"/>
      <c r="V323" s="48"/>
    </row>
    <row r="324" spans="2:22" ht="22.5" customHeight="1" thickBot="1" x14ac:dyDescent="0.3">
      <c r="B324" s="1240" t="s">
        <v>64</v>
      </c>
      <c r="C324" s="1238" t="s">
        <v>295</v>
      </c>
      <c r="D324" s="555" t="s">
        <v>379</v>
      </c>
      <c r="E324" s="1236" t="s">
        <v>429</v>
      </c>
      <c r="F324" s="1234" t="s">
        <v>758</v>
      </c>
      <c r="G324" s="1234" t="s">
        <v>190</v>
      </c>
      <c r="H324" s="1312" t="s">
        <v>240</v>
      </c>
      <c r="I324" s="1236" t="s">
        <v>263</v>
      </c>
      <c r="J324" s="1236" t="s">
        <v>462</v>
      </c>
      <c r="K324" s="1206" t="s">
        <v>199</v>
      </c>
      <c r="L324" s="1206" t="s">
        <v>199</v>
      </c>
      <c r="M324" s="542" t="s">
        <v>122</v>
      </c>
      <c r="N324" s="543"/>
      <c r="O324" s="544">
        <f>O325+O326</f>
        <v>0</v>
      </c>
      <c r="P324" s="544">
        <f>P325+P326</f>
        <v>0</v>
      </c>
      <c r="Q324" s="675">
        <f>Q325+Q326</f>
        <v>0</v>
      </c>
      <c r="R324" s="48"/>
      <c r="S324" s="48"/>
      <c r="T324" s="48"/>
      <c r="U324" s="48"/>
      <c r="V324" s="48"/>
    </row>
    <row r="325" spans="2:22" ht="24.75" customHeight="1" thickBot="1" x14ac:dyDescent="0.3">
      <c r="B325" s="1204"/>
      <c r="C325" s="1192"/>
      <c r="D325" s="555"/>
      <c r="E325" s="1199"/>
      <c r="F325" s="1201"/>
      <c r="G325" s="1201"/>
      <c r="H325" s="1209"/>
      <c r="I325" s="1199"/>
      <c r="J325" s="1199"/>
      <c r="K325" s="1204"/>
      <c r="L325" s="1204"/>
      <c r="M325" s="636" t="s">
        <v>123</v>
      </c>
      <c r="N325" s="549"/>
      <c r="O325" s="544">
        <v>0</v>
      </c>
      <c r="P325" s="544">
        <v>0</v>
      </c>
      <c r="Q325" s="675">
        <v>0</v>
      </c>
      <c r="R325" s="48"/>
      <c r="S325" s="48"/>
      <c r="T325" s="48"/>
      <c r="U325" s="48"/>
      <c r="V325" s="48"/>
    </row>
    <row r="326" spans="2:22" ht="24" customHeight="1" thickBot="1" x14ac:dyDescent="0.3">
      <c r="B326" s="1204"/>
      <c r="C326" s="1192"/>
      <c r="D326" s="555"/>
      <c r="E326" s="1199"/>
      <c r="F326" s="1201"/>
      <c r="G326" s="1201"/>
      <c r="H326" s="1209"/>
      <c r="I326" s="1199"/>
      <c r="J326" s="1199"/>
      <c r="K326" s="1204"/>
      <c r="L326" s="1204"/>
      <c r="M326" s="672" t="s">
        <v>124</v>
      </c>
      <c r="N326" s="550"/>
      <c r="O326" s="544">
        <v>0</v>
      </c>
      <c r="P326" s="544">
        <v>0</v>
      </c>
      <c r="Q326" s="675">
        <v>0</v>
      </c>
      <c r="R326" s="48"/>
      <c r="S326" s="48"/>
      <c r="T326" s="48"/>
      <c r="U326" s="48"/>
      <c r="V326" s="48"/>
    </row>
    <row r="327" spans="2:22" ht="24" customHeight="1" thickBot="1" x14ac:dyDescent="0.3">
      <c r="B327" s="1241"/>
      <c r="C327" s="1239"/>
      <c r="D327" s="555"/>
      <c r="E327" s="1237"/>
      <c r="F327" s="1235"/>
      <c r="G327" s="1235"/>
      <c r="H327" s="1291"/>
      <c r="I327" s="1237"/>
      <c r="J327" s="1237"/>
      <c r="K327" s="1204"/>
      <c r="L327" s="1204"/>
      <c r="M327" s="547" t="s">
        <v>745</v>
      </c>
      <c r="N327" s="549"/>
      <c r="O327" s="551">
        <v>880</v>
      </c>
      <c r="P327" s="551">
        <v>0</v>
      </c>
      <c r="Q327" s="552">
        <v>0</v>
      </c>
      <c r="R327" s="48"/>
      <c r="S327" s="48"/>
      <c r="T327" s="48"/>
      <c r="U327" s="48"/>
      <c r="V327" s="48"/>
    </row>
    <row r="328" spans="2:22" ht="30.75" customHeight="1" thickBot="1" x14ac:dyDescent="0.3">
      <c r="B328" s="1240" t="s">
        <v>64</v>
      </c>
      <c r="C328" s="1238" t="s">
        <v>295</v>
      </c>
      <c r="D328" s="555">
        <v>27302111</v>
      </c>
      <c r="E328" s="1236" t="s">
        <v>203</v>
      </c>
      <c r="F328" s="1234" t="s">
        <v>283</v>
      </c>
      <c r="G328" s="1234" t="s">
        <v>255</v>
      </c>
      <c r="H328" s="1312" t="s">
        <v>240</v>
      </c>
      <c r="I328" s="1236">
        <v>1</v>
      </c>
      <c r="J328" s="1236" t="s">
        <v>462</v>
      </c>
      <c r="K328" s="1206" t="s">
        <v>199</v>
      </c>
      <c r="L328" s="1206" t="s">
        <v>199</v>
      </c>
      <c r="M328" s="542" t="s">
        <v>122</v>
      </c>
      <c r="N328" s="543"/>
      <c r="O328" s="544">
        <f>O329+O330+O331</f>
        <v>843.57</v>
      </c>
      <c r="P328" s="544">
        <f>P329+P330+P331</f>
        <v>0</v>
      </c>
      <c r="Q328" s="675">
        <f>Q329+Q330+Q331</f>
        <v>0</v>
      </c>
      <c r="R328" s="48"/>
      <c r="S328" s="48"/>
      <c r="T328" s="48"/>
      <c r="U328" s="48"/>
      <c r="V328" s="48"/>
    </row>
    <row r="329" spans="2:22" ht="30.75" customHeight="1" thickBot="1" x14ac:dyDescent="0.3">
      <c r="B329" s="1204"/>
      <c r="C329" s="1192"/>
      <c r="D329" s="555"/>
      <c r="E329" s="1199"/>
      <c r="F329" s="1201"/>
      <c r="G329" s="1201"/>
      <c r="H329" s="1209"/>
      <c r="I329" s="1199"/>
      <c r="J329" s="1199"/>
      <c r="K329" s="1204"/>
      <c r="L329" s="1204"/>
      <c r="M329" s="636" t="s">
        <v>123</v>
      </c>
      <c r="N329" s="549"/>
      <c r="O329" s="544">
        <v>0</v>
      </c>
      <c r="P329" s="544">
        <v>0</v>
      </c>
      <c r="Q329" s="675">
        <v>0</v>
      </c>
      <c r="R329" s="48"/>
      <c r="S329" s="48"/>
      <c r="T329" s="48"/>
      <c r="U329" s="48"/>
      <c r="V329" s="48"/>
    </row>
    <row r="330" spans="2:22" ht="27.75" customHeight="1" thickBot="1" x14ac:dyDescent="0.3">
      <c r="B330" s="1204"/>
      <c r="C330" s="1192"/>
      <c r="D330" s="555"/>
      <c r="E330" s="1199"/>
      <c r="F330" s="1201"/>
      <c r="G330" s="1201"/>
      <c r="H330" s="1209"/>
      <c r="I330" s="1199"/>
      <c r="J330" s="1199"/>
      <c r="K330" s="1204"/>
      <c r="L330" s="1204"/>
      <c r="M330" s="672" t="s">
        <v>124</v>
      </c>
      <c r="N330" s="550"/>
      <c r="O330" s="544">
        <v>843.57</v>
      </c>
      <c r="P330" s="544">
        <v>0</v>
      </c>
      <c r="Q330" s="675">
        <v>0</v>
      </c>
      <c r="R330" s="48"/>
      <c r="S330" s="48"/>
      <c r="T330" s="48"/>
      <c r="U330" s="48"/>
      <c r="V330" s="48"/>
    </row>
    <row r="331" spans="2:22" ht="24.75" customHeight="1" thickBot="1" x14ac:dyDescent="0.3">
      <c r="B331" s="1241"/>
      <c r="C331" s="1239"/>
      <c r="D331" s="555"/>
      <c r="E331" s="1237"/>
      <c r="F331" s="1235"/>
      <c r="G331" s="1235"/>
      <c r="H331" s="1291"/>
      <c r="I331" s="1237"/>
      <c r="J331" s="1237"/>
      <c r="K331" s="1204"/>
      <c r="L331" s="1204"/>
      <c r="M331" s="547" t="s">
        <v>745</v>
      </c>
      <c r="N331" s="549"/>
      <c r="O331" s="551">
        <v>0</v>
      </c>
      <c r="P331" s="551">
        <v>0</v>
      </c>
      <c r="Q331" s="552">
        <v>0</v>
      </c>
      <c r="R331" s="48"/>
      <c r="S331" s="48"/>
      <c r="T331" s="48"/>
      <c r="U331" s="48"/>
      <c r="V331" s="48"/>
    </row>
    <row r="332" spans="2:22" ht="43.5" customHeight="1" thickBot="1" x14ac:dyDescent="0.3">
      <c r="B332" s="1240" t="s">
        <v>64</v>
      </c>
      <c r="C332" s="1238" t="s">
        <v>295</v>
      </c>
      <c r="D332" s="555">
        <v>27302111</v>
      </c>
      <c r="E332" s="1236" t="s">
        <v>203</v>
      </c>
      <c r="F332" s="1234" t="s">
        <v>754</v>
      </c>
      <c r="G332" s="1234" t="s">
        <v>435</v>
      </c>
      <c r="H332" s="1312" t="s">
        <v>240</v>
      </c>
      <c r="I332" s="1236">
        <v>1</v>
      </c>
      <c r="J332" s="1236" t="s">
        <v>462</v>
      </c>
      <c r="K332" s="1206" t="s">
        <v>199</v>
      </c>
      <c r="L332" s="1206" t="s">
        <v>199</v>
      </c>
      <c r="M332" s="542" t="s">
        <v>122</v>
      </c>
      <c r="N332" s="543"/>
      <c r="O332" s="544">
        <f>O333+O334</f>
        <v>0</v>
      </c>
      <c r="P332" s="544">
        <f>P333+P334</f>
        <v>0</v>
      </c>
      <c r="Q332" s="675">
        <f>Q333+Q334</f>
        <v>0</v>
      </c>
      <c r="R332" s="48"/>
      <c r="S332" s="48"/>
      <c r="T332" s="48"/>
      <c r="U332" s="48"/>
      <c r="V332" s="48"/>
    </row>
    <row r="333" spans="2:22" ht="24.75" customHeight="1" thickBot="1" x14ac:dyDescent="0.3">
      <c r="B333" s="1204"/>
      <c r="C333" s="1192"/>
      <c r="D333" s="555"/>
      <c r="E333" s="1199"/>
      <c r="F333" s="1201"/>
      <c r="G333" s="1201"/>
      <c r="H333" s="1209"/>
      <c r="I333" s="1199"/>
      <c r="J333" s="1199"/>
      <c r="K333" s="1204"/>
      <c r="L333" s="1204"/>
      <c r="M333" s="636" t="s">
        <v>123</v>
      </c>
      <c r="N333" s="549"/>
      <c r="O333" s="544">
        <v>0</v>
      </c>
      <c r="P333" s="544">
        <v>0</v>
      </c>
      <c r="Q333" s="675">
        <v>0</v>
      </c>
      <c r="R333" s="48"/>
      <c r="S333" s="48"/>
      <c r="T333" s="48"/>
      <c r="U333" s="48"/>
      <c r="V333" s="48"/>
    </row>
    <row r="334" spans="2:22" ht="24.75" customHeight="1" thickBot="1" x14ac:dyDescent="0.3">
      <c r="B334" s="1204"/>
      <c r="C334" s="1192"/>
      <c r="D334" s="555"/>
      <c r="E334" s="1199"/>
      <c r="F334" s="1201"/>
      <c r="G334" s="1201"/>
      <c r="H334" s="1209"/>
      <c r="I334" s="1199"/>
      <c r="J334" s="1199"/>
      <c r="K334" s="1204"/>
      <c r="L334" s="1204"/>
      <c r="M334" s="672" t="s">
        <v>124</v>
      </c>
      <c r="N334" s="550"/>
      <c r="O334" s="544">
        <v>0</v>
      </c>
      <c r="P334" s="544">
        <v>0</v>
      </c>
      <c r="Q334" s="675">
        <v>0</v>
      </c>
      <c r="R334" s="48"/>
      <c r="S334" s="48"/>
      <c r="T334" s="48"/>
      <c r="U334" s="48"/>
      <c r="V334" s="48"/>
    </row>
    <row r="335" spans="2:22" ht="24.75" customHeight="1" thickBot="1" x14ac:dyDescent="0.3">
      <c r="B335" s="1241"/>
      <c r="C335" s="1239"/>
      <c r="D335" s="555"/>
      <c r="E335" s="1237"/>
      <c r="F335" s="1235"/>
      <c r="G335" s="1235"/>
      <c r="H335" s="1291"/>
      <c r="I335" s="1237"/>
      <c r="J335" s="1237"/>
      <c r="K335" s="1204"/>
      <c r="L335" s="1204"/>
      <c r="M335" s="547" t="s">
        <v>745</v>
      </c>
      <c r="N335" s="549"/>
      <c r="O335" s="551">
        <v>12391.745000000001</v>
      </c>
      <c r="P335" s="551">
        <v>0</v>
      </c>
      <c r="Q335" s="552">
        <v>0</v>
      </c>
      <c r="R335" s="48"/>
      <c r="S335" s="48"/>
      <c r="T335" s="48"/>
      <c r="U335" s="48"/>
      <c r="V335" s="48"/>
    </row>
    <row r="336" spans="2:22" ht="30" customHeight="1" thickBot="1" x14ac:dyDescent="0.3">
      <c r="B336" s="1240" t="s">
        <v>64</v>
      </c>
      <c r="C336" s="1238" t="s">
        <v>295</v>
      </c>
      <c r="D336" s="555">
        <v>27301848</v>
      </c>
      <c r="E336" s="1236" t="s">
        <v>204</v>
      </c>
      <c r="F336" s="1234" t="s">
        <v>740</v>
      </c>
      <c r="G336" s="1234" t="s">
        <v>428</v>
      </c>
      <c r="H336" s="1312" t="s">
        <v>240</v>
      </c>
      <c r="I336" s="1236">
        <v>1</v>
      </c>
      <c r="J336" s="1236" t="s">
        <v>462</v>
      </c>
      <c r="K336" s="1206" t="s">
        <v>199</v>
      </c>
      <c r="L336" s="1206" t="s">
        <v>199</v>
      </c>
      <c r="M336" s="542" t="s">
        <v>122</v>
      </c>
      <c r="N336" s="543"/>
      <c r="O336" s="544">
        <f>O337+O338+O339</f>
        <v>39.9</v>
      </c>
      <c r="P336" s="544">
        <f>P337+P338+P339</f>
        <v>0</v>
      </c>
      <c r="Q336" s="675">
        <f>Q337+Q338+Q339</f>
        <v>0</v>
      </c>
      <c r="R336" s="48"/>
      <c r="S336" s="48"/>
      <c r="T336" s="48"/>
      <c r="U336" s="48"/>
      <c r="V336" s="48"/>
    </row>
    <row r="337" spans="2:22" ht="29.25" customHeight="1" thickBot="1" x14ac:dyDescent="0.3">
      <c r="B337" s="1204"/>
      <c r="C337" s="1192"/>
      <c r="D337" s="555"/>
      <c r="E337" s="1199"/>
      <c r="F337" s="1201"/>
      <c r="G337" s="1201"/>
      <c r="H337" s="1209"/>
      <c r="I337" s="1199"/>
      <c r="J337" s="1199"/>
      <c r="K337" s="1204"/>
      <c r="L337" s="1204"/>
      <c r="M337" s="636" t="s">
        <v>123</v>
      </c>
      <c r="N337" s="549"/>
      <c r="O337" s="544">
        <v>0</v>
      </c>
      <c r="P337" s="544">
        <v>0</v>
      </c>
      <c r="Q337" s="675">
        <v>0</v>
      </c>
      <c r="R337" s="48"/>
      <c r="S337" s="48"/>
      <c r="T337" s="48"/>
      <c r="U337" s="48"/>
      <c r="V337" s="48"/>
    </row>
    <row r="338" spans="2:22" ht="27" customHeight="1" thickBot="1" x14ac:dyDescent="0.3">
      <c r="B338" s="1204"/>
      <c r="C338" s="1192"/>
      <c r="D338" s="555"/>
      <c r="E338" s="1199"/>
      <c r="F338" s="1201"/>
      <c r="G338" s="1201"/>
      <c r="H338" s="1209"/>
      <c r="I338" s="1199"/>
      <c r="J338" s="1199"/>
      <c r="K338" s="1204"/>
      <c r="L338" s="1204"/>
      <c r="M338" s="672" t="s">
        <v>124</v>
      </c>
      <c r="N338" s="550"/>
      <c r="O338" s="544">
        <v>39.9</v>
      </c>
      <c r="P338" s="544">
        <v>0</v>
      </c>
      <c r="Q338" s="675">
        <v>0</v>
      </c>
      <c r="R338" s="48"/>
      <c r="S338" s="48"/>
      <c r="T338" s="48"/>
      <c r="U338" s="48"/>
      <c r="V338" s="48"/>
    </row>
    <row r="339" spans="2:22" ht="26.25" customHeight="1" thickBot="1" x14ac:dyDescent="0.3">
      <c r="B339" s="1241"/>
      <c r="C339" s="1239"/>
      <c r="D339" s="555"/>
      <c r="E339" s="1237"/>
      <c r="F339" s="1235"/>
      <c r="G339" s="1235"/>
      <c r="H339" s="1291"/>
      <c r="I339" s="1237"/>
      <c r="J339" s="1237"/>
      <c r="K339" s="1204"/>
      <c r="L339" s="1204"/>
      <c r="M339" s="547" t="s">
        <v>745</v>
      </c>
      <c r="N339" s="549"/>
      <c r="O339" s="551">
        <v>0</v>
      </c>
      <c r="P339" s="551">
        <v>0</v>
      </c>
      <c r="Q339" s="552">
        <v>0</v>
      </c>
      <c r="R339" s="48"/>
      <c r="S339" s="48"/>
      <c r="T339" s="48"/>
      <c r="U339" s="48"/>
      <c r="V339" s="48"/>
    </row>
    <row r="340" spans="2:22" ht="32.25" customHeight="1" thickBot="1" x14ac:dyDescent="0.3">
      <c r="B340" s="1240" t="s">
        <v>64</v>
      </c>
      <c r="C340" s="1238" t="s">
        <v>295</v>
      </c>
      <c r="D340" s="555">
        <v>27302170</v>
      </c>
      <c r="E340" s="1236" t="s">
        <v>575</v>
      </c>
      <c r="F340" s="1234" t="s">
        <v>739</v>
      </c>
      <c r="G340" s="1234" t="s">
        <v>428</v>
      </c>
      <c r="H340" s="1312" t="s">
        <v>240</v>
      </c>
      <c r="I340" s="1236" t="s">
        <v>372</v>
      </c>
      <c r="J340" s="1236" t="s">
        <v>462</v>
      </c>
      <c r="K340" s="1206" t="s">
        <v>199</v>
      </c>
      <c r="L340" s="1206" t="s">
        <v>199</v>
      </c>
      <c r="M340" s="542" t="s">
        <v>122</v>
      </c>
      <c r="N340" s="543"/>
      <c r="O340" s="544">
        <f>O341+O342+O343</f>
        <v>505.98</v>
      </c>
      <c r="P340" s="544">
        <f>P341+P342+P343</f>
        <v>0</v>
      </c>
      <c r="Q340" s="675">
        <f>Q341+Q342+Q343</f>
        <v>0</v>
      </c>
      <c r="R340" s="48"/>
      <c r="S340" s="48"/>
      <c r="T340" s="48"/>
      <c r="U340" s="48"/>
      <c r="V340" s="48"/>
    </row>
    <row r="341" spans="2:22" ht="25.5" customHeight="1" thickBot="1" x14ac:dyDescent="0.3">
      <c r="B341" s="1204"/>
      <c r="C341" s="1192"/>
      <c r="D341" s="680"/>
      <c r="E341" s="1199"/>
      <c r="F341" s="1201"/>
      <c r="G341" s="1201"/>
      <c r="H341" s="1209"/>
      <c r="I341" s="1199"/>
      <c r="J341" s="1199"/>
      <c r="K341" s="1204"/>
      <c r="L341" s="1204"/>
      <c r="M341" s="636" t="s">
        <v>123</v>
      </c>
      <c r="N341" s="549"/>
      <c r="O341" s="544">
        <v>0</v>
      </c>
      <c r="P341" s="544">
        <v>0</v>
      </c>
      <c r="Q341" s="675">
        <v>0</v>
      </c>
      <c r="R341" s="48"/>
      <c r="S341" s="48"/>
      <c r="T341" s="48"/>
      <c r="U341" s="48"/>
      <c r="V341" s="48"/>
    </row>
    <row r="342" spans="2:22" ht="27" customHeight="1" thickBot="1" x14ac:dyDescent="0.3">
      <c r="B342" s="1204"/>
      <c r="C342" s="1192"/>
      <c r="D342" s="680"/>
      <c r="E342" s="1199"/>
      <c r="F342" s="1201"/>
      <c r="G342" s="1201"/>
      <c r="H342" s="1209"/>
      <c r="I342" s="1199"/>
      <c r="J342" s="1199"/>
      <c r="K342" s="1204"/>
      <c r="L342" s="1204"/>
      <c r="M342" s="672" t="s">
        <v>124</v>
      </c>
      <c r="N342" s="550"/>
      <c r="O342" s="544">
        <v>505.98</v>
      </c>
      <c r="P342" s="544">
        <v>0</v>
      </c>
      <c r="Q342" s="675">
        <v>0</v>
      </c>
      <c r="R342" s="48"/>
      <c r="S342" s="48"/>
      <c r="T342" s="48"/>
      <c r="U342" s="48"/>
      <c r="V342" s="48"/>
    </row>
    <row r="343" spans="2:22" ht="28.5" customHeight="1" thickBot="1" x14ac:dyDescent="0.3">
      <c r="B343" s="1241"/>
      <c r="C343" s="1192"/>
      <c r="D343" s="680"/>
      <c r="E343" s="1199"/>
      <c r="F343" s="1201"/>
      <c r="G343" s="1201"/>
      <c r="H343" s="1209"/>
      <c r="I343" s="1199"/>
      <c r="J343" s="1199"/>
      <c r="K343" s="1204"/>
      <c r="L343" s="1204"/>
      <c r="M343" s="671" t="s">
        <v>745</v>
      </c>
      <c r="N343" s="543"/>
      <c r="O343" s="544">
        <v>0</v>
      </c>
      <c r="P343" s="544">
        <v>0</v>
      </c>
      <c r="Q343" s="675">
        <v>0</v>
      </c>
      <c r="R343" s="48"/>
      <c r="S343" s="48"/>
      <c r="T343" s="48"/>
      <c r="U343" s="48"/>
      <c r="V343" s="48"/>
    </row>
    <row r="344" spans="2:22" ht="24" customHeight="1" thickBot="1" x14ac:dyDescent="0.3">
      <c r="B344" s="1240" t="s">
        <v>64</v>
      </c>
      <c r="C344" s="1207" t="s">
        <v>295</v>
      </c>
      <c r="D344" s="680" t="s">
        <v>532</v>
      </c>
      <c r="E344" s="1207" t="s">
        <v>383</v>
      </c>
      <c r="F344" s="1200" t="s">
        <v>812</v>
      </c>
      <c r="G344" s="1200" t="s">
        <v>428</v>
      </c>
      <c r="H344" s="1308" t="s">
        <v>240</v>
      </c>
      <c r="I344" s="1207" t="s">
        <v>741</v>
      </c>
      <c r="J344" s="1207" t="s">
        <v>462</v>
      </c>
      <c r="K344" s="1206" t="s">
        <v>199</v>
      </c>
      <c r="L344" s="1206" t="s">
        <v>199</v>
      </c>
      <c r="M344" s="542" t="s">
        <v>122</v>
      </c>
      <c r="N344" s="543"/>
      <c r="O344" s="544">
        <f>O345+O346+O347</f>
        <v>100</v>
      </c>
      <c r="P344" s="544">
        <f>P345+P346+P347</f>
        <v>0</v>
      </c>
      <c r="Q344" s="675">
        <f>Q345+Q346+Q347</f>
        <v>0</v>
      </c>
      <c r="R344" s="48"/>
      <c r="S344" s="48"/>
      <c r="T344" s="48"/>
      <c r="U344" s="48"/>
      <c r="V344" s="48"/>
    </row>
    <row r="345" spans="2:22" ht="22.5" customHeight="1" thickBot="1" x14ac:dyDescent="0.3">
      <c r="B345" s="1204"/>
      <c r="C345" s="1199"/>
      <c r="D345" s="654"/>
      <c r="E345" s="1199"/>
      <c r="F345" s="1201"/>
      <c r="G345" s="1201"/>
      <c r="H345" s="1259"/>
      <c r="I345" s="1199"/>
      <c r="J345" s="1199"/>
      <c r="K345" s="1204"/>
      <c r="L345" s="1204"/>
      <c r="M345" s="636" t="s">
        <v>123</v>
      </c>
      <c r="N345" s="549"/>
      <c r="O345" s="544">
        <v>0</v>
      </c>
      <c r="P345" s="544">
        <v>0</v>
      </c>
      <c r="Q345" s="675">
        <v>0</v>
      </c>
      <c r="R345" s="48"/>
      <c r="S345" s="48"/>
      <c r="T345" s="48"/>
      <c r="U345" s="48"/>
      <c r="V345" s="48"/>
    </row>
    <row r="346" spans="2:22" ht="27" customHeight="1" thickBot="1" x14ac:dyDescent="0.3">
      <c r="B346" s="1204"/>
      <c r="C346" s="1199"/>
      <c r="D346" s="555"/>
      <c r="E346" s="1199"/>
      <c r="F346" s="1201"/>
      <c r="G346" s="1201"/>
      <c r="H346" s="1259"/>
      <c r="I346" s="1199"/>
      <c r="J346" s="1199"/>
      <c r="K346" s="1204"/>
      <c r="L346" s="1204"/>
      <c r="M346" s="672" t="s">
        <v>124</v>
      </c>
      <c r="N346" s="550"/>
      <c r="O346" s="544">
        <v>100</v>
      </c>
      <c r="P346" s="544">
        <v>0</v>
      </c>
      <c r="Q346" s="675">
        <v>0</v>
      </c>
      <c r="R346" s="48"/>
      <c r="S346" s="48"/>
      <c r="T346" s="48"/>
      <c r="U346" s="48"/>
      <c r="V346" s="48"/>
    </row>
    <row r="347" spans="2:22" ht="21" customHeight="1" thickBot="1" x14ac:dyDescent="0.3">
      <c r="B347" s="1204"/>
      <c r="C347" s="1199"/>
      <c r="D347" s="680"/>
      <c r="E347" s="1199"/>
      <c r="F347" s="1201"/>
      <c r="G347" s="1201"/>
      <c r="H347" s="1259"/>
      <c r="I347" s="1199"/>
      <c r="J347" s="1199"/>
      <c r="K347" s="1204"/>
      <c r="L347" s="1204"/>
      <c r="M347" s="671" t="s">
        <v>745</v>
      </c>
      <c r="N347" s="543"/>
      <c r="O347" s="544">
        <v>0</v>
      </c>
      <c r="P347" s="544">
        <v>0</v>
      </c>
      <c r="Q347" s="675">
        <v>0</v>
      </c>
      <c r="R347" s="48"/>
      <c r="S347" s="48"/>
      <c r="T347" s="48"/>
      <c r="U347" s="48"/>
      <c r="V347" s="48"/>
    </row>
    <row r="348" spans="2:22" ht="50.25" customHeight="1" thickBot="1" x14ac:dyDescent="0.3">
      <c r="B348" s="1302" t="s">
        <v>172</v>
      </c>
      <c r="C348" s="1292" t="s">
        <v>116</v>
      </c>
      <c r="D348" s="1275" t="s">
        <v>116</v>
      </c>
      <c r="E348" s="1275" t="s">
        <v>116</v>
      </c>
      <c r="F348" s="1296" t="s">
        <v>176</v>
      </c>
      <c r="G348" s="545" t="s">
        <v>381</v>
      </c>
      <c r="H348" s="654" t="s">
        <v>243</v>
      </c>
      <c r="I348" s="593">
        <v>62400</v>
      </c>
      <c r="J348" s="1206" t="s">
        <v>462</v>
      </c>
      <c r="K348" s="593">
        <v>62400</v>
      </c>
      <c r="L348" s="593">
        <v>62400</v>
      </c>
      <c r="M348" s="542" t="s">
        <v>122</v>
      </c>
      <c r="N348" s="543"/>
      <c r="O348" s="544">
        <f>O353+O417+O425+O513</f>
        <v>216817.14776000002</v>
      </c>
      <c r="P348" s="544">
        <f t="shared" ref="P348:Q351" si="8">P353+P409+P417+P425+P513</f>
        <v>216056.38664000004</v>
      </c>
      <c r="Q348" s="675">
        <f t="shared" si="8"/>
        <v>208393.48670000001</v>
      </c>
      <c r="R348" s="48"/>
      <c r="S348" s="48"/>
      <c r="T348" s="48"/>
      <c r="U348" s="48"/>
      <c r="V348" s="48"/>
    </row>
    <row r="349" spans="2:22" ht="33" customHeight="1" thickBot="1" x14ac:dyDescent="0.3">
      <c r="B349" s="1303"/>
      <c r="C349" s="1293"/>
      <c r="D349" s="1295"/>
      <c r="E349" s="1295"/>
      <c r="F349" s="1297"/>
      <c r="G349" s="697" t="s">
        <v>187</v>
      </c>
      <c r="H349" s="555" t="s">
        <v>241</v>
      </c>
      <c r="I349" s="594">
        <f>I357+I359+I361+I365+I369+I373+I377+I381+I385+I389+I393+I395+I397+I401</f>
        <v>4908</v>
      </c>
      <c r="J349" s="1204"/>
      <c r="K349" s="594">
        <f>K357+K359+K361+K365+K369+K373+K377+K381+K385+K389+K393+K395+K397+K401</f>
        <v>4908</v>
      </c>
      <c r="L349" s="594">
        <f>L357+L359+L361+L365+L369+L373+L377+L381+L385+L389+L393+L395+L397+L401</f>
        <v>4908</v>
      </c>
      <c r="M349" s="636" t="s">
        <v>123</v>
      </c>
      <c r="N349" s="549"/>
      <c r="O349" s="551">
        <f>O354+O410+O418+O426+O514</f>
        <v>4560</v>
      </c>
      <c r="P349" s="551">
        <f t="shared" si="8"/>
        <v>4560</v>
      </c>
      <c r="Q349" s="552">
        <f t="shared" si="8"/>
        <v>4560</v>
      </c>
      <c r="R349" s="48"/>
      <c r="S349" s="48"/>
      <c r="T349" s="48"/>
      <c r="U349" s="48"/>
      <c r="V349" s="48"/>
    </row>
    <row r="350" spans="2:22" ht="44.25" customHeight="1" thickBot="1" x14ac:dyDescent="0.3">
      <c r="B350" s="1303"/>
      <c r="C350" s="1293"/>
      <c r="D350" s="1295"/>
      <c r="E350" s="1295"/>
      <c r="F350" s="1297"/>
      <c r="G350" s="576" t="s">
        <v>254</v>
      </c>
      <c r="H350" s="555" t="s">
        <v>240</v>
      </c>
      <c r="I350" s="594">
        <v>9</v>
      </c>
      <c r="J350" s="1204"/>
      <c r="K350" s="594">
        <v>4</v>
      </c>
      <c r="L350" s="594">
        <v>1</v>
      </c>
      <c r="M350" s="672" t="s">
        <v>124</v>
      </c>
      <c r="N350" s="550"/>
      <c r="O350" s="561">
        <f>O355+O411+O419+O427+O515</f>
        <v>212257.14776000002</v>
      </c>
      <c r="P350" s="561">
        <f t="shared" si="8"/>
        <v>211496.38664000004</v>
      </c>
      <c r="Q350" s="562">
        <f t="shared" si="8"/>
        <v>203833.48670000001</v>
      </c>
      <c r="R350" s="48"/>
      <c r="S350" s="48"/>
      <c r="T350" s="48"/>
      <c r="U350" s="48"/>
      <c r="V350" s="48"/>
    </row>
    <row r="351" spans="2:22" ht="63.75" customHeight="1" thickBot="1" x14ac:dyDescent="0.3">
      <c r="B351" s="1303"/>
      <c r="C351" s="1293"/>
      <c r="D351" s="1295"/>
      <c r="E351" s="1295"/>
      <c r="F351" s="1297"/>
      <c r="G351" s="576" t="s">
        <v>527</v>
      </c>
      <c r="H351" s="555" t="s">
        <v>240</v>
      </c>
      <c r="I351" s="594">
        <v>2</v>
      </c>
      <c r="J351" s="1204"/>
      <c r="K351" s="594">
        <v>2</v>
      </c>
      <c r="L351" s="594">
        <v>2</v>
      </c>
      <c r="M351" s="547" t="s">
        <v>745</v>
      </c>
      <c r="N351" s="549"/>
      <c r="O351" s="551">
        <f>O356+O412+O420+O428+O516</f>
        <v>26528.480349999998</v>
      </c>
      <c r="P351" s="551">
        <f t="shared" si="8"/>
        <v>0</v>
      </c>
      <c r="Q351" s="552">
        <f t="shared" si="8"/>
        <v>0</v>
      </c>
      <c r="R351" s="48"/>
      <c r="S351" s="48"/>
      <c r="T351" s="48"/>
      <c r="U351" s="48"/>
      <c r="V351" s="48"/>
    </row>
    <row r="352" spans="2:22" ht="39" customHeight="1" thickBot="1" x14ac:dyDescent="0.3">
      <c r="B352" s="1304"/>
      <c r="C352" s="1294"/>
      <c r="D352" s="1276"/>
      <c r="E352" s="1276"/>
      <c r="F352" s="1298"/>
      <c r="G352" s="591" t="s">
        <v>220</v>
      </c>
      <c r="H352" s="558" t="s">
        <v>240</v>
      </c>
      <c r="I352" s="592">
        <v>1</v>
      </c>
      <c r="J352" s="1205"/>
      <c r="K352" s="592">
        <v>0</v>
      </c>
      <c r="L352" s="592">
        <v>0</v>
      </c>
      <c r="M352" s="642"/>
      <c r="N352" s="595"/>
      <c r="O352" s="554"/>
      <c r="P352" s="554"/>
      <c r="Q352" s="554"/>
      <c r="R352" s="48"/>
      <c r="S352" s="48"/>
      <c r="T352" s="48"/>
      <c r="U352" s="48"/>
      <c r="V352" s="48"/>
    </row>
    <row r="353" spans="2:22" ht="24.75" customHeight="1" thickBot="1" x14ac:dyDescent="0.3">
      <c r="B353" s="1204" t="s">
        <v>172</v>
      </c>
      <c r="C353" s="1199" t="s">
        <v>590</v>
      </c>
      <c r="D353" s="682"/>
      <c r="E353" s="1199" t="s">
        <v>116</v>
      </c>
      <c r="F353" s="1199" t="s">
        <v>589</v>
      </c>
      <c r="G353" s="1199" t="s">
        <v>116</v>
      </c>
      <c r="H353" s="1199" t="s">
        <v>116</v>
      </c>
      <c r="I353" s="1199" t="s">
        <v>116</v>
      </c>
      <c r="J353" s="1199" t="s">
        <v>462</v>
      </c>
      <c r="K353" s="1199" t="s">
        <v>116</v>
      </c>
      <c r="L353" s="1199" t="s">
        <v>116</v>
      </c>
      <c r="M353" s="672" t="s">
        <v>122</v>
      </c>
      <c r="N353" s="550"/>
      <c r="O353" s="561">
        <f t="shared" ref="O353:Q356" si="9">O357+O361+O365+O369+O373+O377+O381+O385+O389+O393+O397+O401+O405</f>
        <v>198780.46880000003</v>
      </c>
      <c r="P353" s="561">
        <f t="shared" si="9"/>
        <v>201745.53664000003</v>
      </c>
      <c r="Q353" s="675">
        <f t="shared" si="9"/>
        <v>204943.48670000001</v>
      </c>
      <c r="R353" s="48"/>
      <c r="S353" s="48"/>
      <c r="T353" s="48"/>
      <c r="U353" s="48"/>
      <c r="V353" s="48"/>
    </row>
    <row r="354" spans="2:22" ht="25.5" customHeight="1" thickBot="1" x14ac:dyDescent="0.3">
      <c r="B354" s="1204"/>
      <c r="C354" s="1199"/>
      <c r="D354" s="555"/>
      <c r="E354" s="1199"/>
      <c r="F354" s="1199"/>
      <c r="G354" s="1199"/>
      <c r="H354" s="1199"/>
      <c r="I354" s="1199"/>
      <c r="J354" s="1199"/>
      <c r="K354" s="1199"/>
      <c r="L354" s="1199"/>
      <c r="M354" s="636" t="s">
        <v>123</v>
      </c>
      <c r="N354" s="549"/>
      <c r="O354" s="544">
        <f>O358+O362+O366+O370+O374+O378+O382+O386+O390+O394+O398+O402+O406</f>
        <v>4560</v>
      </c>
      <c r="P354" s="544">
        <f>P358+P362+P366+P370+P374+P378+P382+P386+P390+P394+P398+P402+P406</f>
        <v>4560</v>
      </c>
      <c r="Q354" s="675">
        <f>Q358+Q362+Q366+Q370+Q374+Q378+Q382+Q386+Q390+Q394+Q398+Q402+Q406</f>
        <v>4560</v>
      </c>
      <c r="R354" s="48"/>
      <c r="S354" s="48"/>
      <c r="T354" s="48"/>
      <c r="U354" s="48"/>
      <c r="V354" s="48"/>
    </row>
    <row r="355" spans="2:22" ht="23.25" customHeight="1" thickBot="1" x14ac:dyDescent="0.3">
      <c r="B355" s="1204"/>
      <c r="C355" s="1199"/>
      <c r="D355" s="555"/>
      <c r="E355" s="1199"/>
      <c r="F355" s="1199"/>
      <c r="G355" s="1199"/>
      <c r="H355" s="1199"/>
      <c r="I355" s="1199"/>
      <c r="J355" s="1199"/>
      <c r="K355" s="1199"/>
      <c r="L355" s="1199"/>
      <c r="M355" s="672" t="s">
        <v>124</v>
      </c>
      <c r="N355" s="550"/>
      <c r="O355" s="544">
        <f>O359+O363+O367+O371+O375+O379+O383+O387+O391+O395+O399+O403+O407</f>
        <v>194220.46880000003</v>
      </c>
      <c r="P355" s="544">
        <f t="shared" si="9"/>
        <v>197185.53664000003</v>
      </c>
      <c r="Q355" s="675">
        <f t="shared" si="9"/>
        <v>200383.48670000001</v>
      </c>
      <c r="R355" s="48"/>
      <c r="S355" s="48"/>
      <c r="T355" s="48"/>
      <c r="U355" s="48"/>
      <c r="V355" s="48"/>
    </row>
    <row r="356" spans="2:22" ht="22.5" customHeight="1" thickBot="1" x14ac:dyDescent="0.3">
      <c r="B356" s="1204"/>
      <c r="C356" s="1199"/>
      <c r="D356" s="673" t="s">
        <v>116</v>
      </c>
      <c r="E356" s="1199"/>
      <c r="F356" s="1199"/>
      <c r="G356" s="1199"/>
      <c r="H356" s="1199"/>
      <c r="I356" s="1199"/>
      <c r="J356" s="1199"/>
      <c r="K356" s="1199"/>
      <c r="L356" s="1199"/>
      <c r="M356" s="671" t="s">
        <v>745</v>
      </c>
      <c r="N356" s="543"/>
      <c r="O356" s="544">
        <f t="shared" si="9"/>
        <v>0</v>
      </c>
      <c r="P356" s="544">
        <f t="shared" si="9"/>
        <v>0</v>
      </c>
      <c r="Q356" s="675">
        <f t="shared" si="9"/>
        <v>0</v>
      </c>
      <c r="R356" s="48"/>
      <c r="S356" s="48"/>
      <c r="T356" s="48"/>
      <c r="U356" s="48"/>
      <c r="V356" s="48"/>
    </row>
    <row r="357" spans="2:22" ht="26.25" customHeight="1" thickBot="1" x14ac:dyDescent="0.3">
      <c r="B357" s="1206" t="s">
        <v>172</v>
      </c>
      <c r="C357" s="1215" t="s">
        <v>590</v>
      </c>
      <c r="D357" s="1229" t="s">
        <v>450</v>
      </c>
      <c r="E357" s="1207" t="s">
        <v>449</v>
      </c>
      <c r="F357" s="1200" t="s">
        <v>286</v>
      </c>
      <c r="G357" s="1200" t="s">
        <v>187</v>
      </c>
      <c r="H357" s="1232" t="s">
        <v>241</v>
      </c>
      <c r="I357" s="1207">
        <f>1+11+160+160</f>
        <v>332</v>
      </c>
      <c r="J357" s="1207" t="s">
        <v>462</v>
      </c>
      <c r="K357" s="1207">
        <f>1+11+160+160</f>
        <v>332</v>
      </c>
      <c r="L357" s="1207">
        <f>1+11+160+160</f>
        <v>332</v>
      </c>
      <c r="M357" s="542" t="s">
        <v>122</v>
      </c>
      <c r="N357" s="543"/>
      <c r="O357" s="544">
        <f>O358+O359+O360</f>
        <v>13207.83</v>
      </c>
      <c r="P357" s="544">
        <f>P358+P359+P360</f>
        <v>13488.3444</v>
      </c>
      <c r="Q357" s="552">
        <f>Q358+Q359+Q360</f>
        <v>13782.37</v>
      </c>
      <c r="R357" s="48"/>
      <c r="S357" s="48"/>
      <c r="T357" s="48"/>
      <c r="U357" s="48"/>
      <c r="V357" s="48"/>
    </row>
    <row r="358" spans="2:22" ht="26.25" customHeight="1" thickBot="1" x14ac:dyDescent="0.3">
      <c r="B358" s="1204"/>
      <c r="C358" s="1192"/>
      <c r="D358" s="1230"/>
      <c r="E358" s="1199"/>
      <c r="F358" s="1201"/>
      <c r="G358" s="1201"/>
      <c r="H358" s="1209"/>
      <c r="I358" s="1199"/>
      <c r="J358" s="1199"/>
      <c r="K358" s="1199"/>
      <c r="L358" s="1199"/>
      <c r="M358" s="636" t="s">
        <v>123</v>
      </c>
      <c r="N358" s="549"/>
      <c r="O358" s="544">
        <v>0</v>
      </c>
      <c r="P358" s="544">
        <v>0</v>
      </c>
      <c r="Q358" s="675">
        <v>0</v>
      </c>
      <c r="R358" s="48"/>
      <c r="S358" s="48"/>
      <c r="T358" s="48"/>
      <c r="U358" s="48"/>
      <c r="V358" s="48"/>
    </row>
    <row r="359" spans="2:22" ht="24.75" customHeight="1" thickBot="1" x14ac:dyDescent="0.3">
      <c r="B359" s="1204"/>
      <c r="C359" s="1192"/>
      <c r="D359" s="1245"/>
      <c r="E359" s="1199"/>
      <c r="F359" s="1200" t="s">
        <v>448</v>
      </c>
      <c r="G359" s="1200" t="s">
        <v>187</v>
      </c>
      <c r="H359" s="1232" t="s">
        <v>241</v>
      </c>
      <c r="I359" s="1207">
        <f>6+15</f>
        <v>21</v>
      </c>
      <c r="J359" s="1199"/>
      <c r="K359" s="1207">
        <f>6+15</f>
        <v>21</v>
      </c>
      <c r="L359" s="1207">
        <f>6+15</f>
        <v>21</v>
      </c>
      <c r="M359" s="672" t="s">
        <v>124</v>
      </c>
      <c r="N359" s="550"/>
      <c r="O359" s="544">
        <v>13207.83</v>
      </c>
      <c r="P359" s="544">
        <v>13488.3444</v>
      </c>
      <c r="Q359" s="675">
        <v>13782.37</v>
      </c>
      <c r="R359" s="48"/>
      <c r="S359" s="48"/>
      <c r="T359" s="48"/>
      <c r="U359" s="48"/>
      <c r="V359" s="48"/>
    </row>
    <row r="360" spans="2:22" ht="27" customHeight="1" thickBot="1" x14ac:dyDescent="0.3">
      <c r="B360" s="1205"/>
      <c r="C360" s="1216"/>
      <c r="D360" s="674"/>
      <c r="E360" s="1208"/>
      <c r="F360" s="1202"/>
      <c r="G360" s="1202"/>
      <c r="H360" s="1210"/>
      <c r="I360" s="1208"/>
      <c r="J360" s="1208"/>
      <c r="K360" s="1208"/>
      <c r="L360" s="1208"/>
      <c r="M360" s="547" t="s">
        <v>745</v>
      </c>
      <c r="N360" s="549"/>
      <c r="O360" s="551">
        <v>0</v>
      </c>
      <c r="P360" s="551">
        <v>0</v>
      </c>
      <c r="Q360" s="552">
        <v>0</v>
      </c>
      <c r="R360" s="48"/>
      <c r="S360" s="48"/>
      <c r="T360" s="48"/>
      <c r="U360" s="48"/>
      <c r="V360" s="48"/>
    </row>
    <row r="361" spans="2:22" ht="24.75" customHeight="1" thickBot="1" x14ac:dyDescent="0.3">
      <c r="B361" s="1206" t="s">
        <v>172</v>
      </c>
      <c r="C361" s="1215" t="s">
        <v>590</v>
      </c>
      <c r="D361" s="654">
        <v>27301842</v>
      </c>
      <c r="E361" s="1207" t="s">
        <v>408</v>
      </c>
      <c r="F361" s="1200" t="s">
        <v>286</v>
      </c>
      <c r="G361" s="1200" t="s">
        <v>187</v>
      </c>
      <c r="H361" s="1232" t="s">
        <v>241</v>
      </c>
      <c r="I361" s="1207">
        <f>35+319+298</f>
        <v>652</v>
      </c>
      <c r="J361" s="1207" t="s">
        <v>462</v>
      </c>
      <c r="K361" s="1207">
        <f>35+319+298</f>
        <v>652</v>
      </c>
      <c r="L361" s="1207">
        <f>35+319+298</f>
        <v>652</v>
      </c>
      <c r="M361" s="542" t="s">
        <v>122</v>
      </c>
      <c r="N361" s="543"/>
      <c r="O361" s="544">
        <f>O362+O363+O364</f>
        <v>19560.13</v>
      </c>
      <c r="P361" s="544">
        <f>P362+P363+P364</f>
        <v>19793.454399999999</v>
      </c>
      <c r="Q361" s="675">
        <f>Q362+Q363+Q364</f>
        <v>20038.7</v>
      </c>
      <c r="R361" s="48"/>
      <c r="S361" s="48"/>
      <c r="T361" s="48"/>
      <c r="U361" s="48"/>
      <c r="V361" s="48"/>
    </row>
    <row r="362" spans="2:22" ht="24" customHeight="1" thickBot="1" x14ac:dyDescent="0.3">
      <c r="B362" s="1204"/>
      <c r="C362" s="1192"/>
      <c r="D362" s="682"/>
      <c r="E362" s="1199"/>
      <c r="F362" s="1201"/>
      <c r="G362" s="1201"/>
      <c r="H362" s="1209"/>
      <c r="I362" s="1199"/>
      <c r="J362" s="1199"/>
      <c r="K362" s="1199"/>
      <c r="L362" s="1199"/>
      <c r="M362" s="636" t="s">
        <v>123</v>
      </c>
      <c r="N362" s="549"/>
      <c r="O362" s="544">
        <v>635</v>
      </c>
      <c r="P362" s="544">
        <v>635</v>
      </c>
      <c r="Q362" s="675">
        <v>635</v>
      </c>
      <c r="R362" s="48"/>
      <c r="S362" s="48"/>
      <c r="T362" s="48"/>
      <c r="U362" s="48"/>
      <c r="V362" s="48"/>
    </row>
    <row r="363" spans="2:22" ht="24" customHeight="1" thickBot="1" x14ac:dyDescent="0.3">
      <c r="B363" s="1204"/>
      <c r="C363" s="1192"/>
      <c r="D363" s="682"/>
      <c r="E363" s="1199"/>
      <c r="F363" s="1201"/>
      <c r="G363" s="1201"/>
      <c r="H363" s="1209"/>
      <c r="I363" s="1199"/>
      <c r="J363" s="1199"/>
      <c r="K363" s="1199"/>
      <c r="L363" s="1199"/>
      <c r="M363" s="672" t="s">
        <v>124</v>
      </c>
      <c r="N363" s="550"/>
      <c r="O363" s="544">
        <v>18925.13</v>
      </c>
      <c r="P363" s="544">
        <v>19158.454399999999</v>
      </c>
      <c r="Q363" s="675">
        <v>19403.7</v>
      </c>
      <c r="R363" s="48"/>
      <c r="S363" s="48"/>
      <c r="T363" s="48"/>
      <c r="U363" s="48"/>
      <c r="V363" s="48"/>
    </row>
    <row r="364" spans="2:22" ht="27" customHeight="1" thickBot="1" x14ac:dyDescent="0.3">
      <c r="B364" s="1205"/>
      <c r="C364" s="1216"/>
      <c r="D364" s="674"/>
      <c r="E364" s="1208"/>
      <c r="F364" s="1202"/>
      <c r="G364" s="1202"/>
      <c r="H364" s="1210"/>
      <c r="I364" s="1208"/>
      <c r="J364" s="1208"/>
      <c r="K364" s="1208"/>
      <c r="L364" s="1208"/>
      <c r="M364" s="547" t="s">
        <v>745</v>
      </c>
      <c r="N364" s="549"/>
      <c r="O364" s="551">
        <v>0</v>
      </c>
      <c r="P364" s="551">
        <v>0</v>
      </c>
      <c r="Q364" s="552">
        <v>0</v>
      </c>
      <c r="R364" s="48"/>
      <c r="S364" s="48"/>
      <c r="T364" s="48"/>
      <c r="U364" s="48"/>
      <c r="V364" s="48"/>
    </row>
    <row r="365" spans="2:22" ht="26.25" customHeight="1" thickBot="1" x14ac:dyDescent="0.3">
      <c r="B365" s="1206" t="s">
        <v>172</v>
      </c>
      <c r="C365" s="1215" t="s">
        <v>590</v>
      </c>
      <c r="D365" s="682">
        <v>27302143</v>
      </c>
      <c r="E365" s="1207" t="s">
        <v>451</v>
      </c>
      <c r="F365" s="1200" t="s">
        <v>286</v>
      </c>
      <c r="G365" s="1200" t="s">
        <v>187</v>
      </c>
      <c r="H365" s="1232" t="s">
        <v>241</v>
      </c>
      <c r="I365" s="1207">
        <f>7+409+153</f>
        <v>569</v>
      </c>
      <c r="J365" s="1207" t="s">
        <v>462</v>
      </c>
      <c r="K365" s="1207">
        <f>7+409+153</f>
        <v>569</v>
      </c>
      <c r="L365" s="1207">
        <f>7+409+153</f>
        <v>569</v>
      </c>
      <c r="M365" s="542" t="s">
        <v>122</v>
      </c>
      <c r="N365" s="543"/>
      <c r="O365" s="544">
        <f>O366+O367+O368</f>
        <v>17650.847000000002</v>
      </c>
      <c r="P365" s="544">
        <f>P366+P367+P368</f>
        <v>17943.874400000001</v>
      </c>
      <c r="Q365" s="675">
        <f>Q366+Q367+Q368</f>
        <v>18251.862000000001</v>
      </c>
      <c r="R365" s="48"/>
      <c r="S365" s="48"/>
      <c r="T365" s="48"/>
      <c r="U365" s="48"/>
      <c r="V365" s="48"/>
    </row>
    <row r="366" spans="2:22" ht="25.5" customHeight="1" thickBot="1" x14ac:dyDescent="0.3">
      <c r="B366" s="1204"/>
      <c r="C366" s="1192"/>
      <c r="D366" s="673"/>
      <c r="E366" s="1199"/>
      <c r="F366" s="1201"/>
      <c r="G366" s="1201"/>
      <c r="H366" s="1209"/>
      <c r="I366" s="1199"/>
      <c r="J366" s="1199"/>
      <c r="K366" s="1199"/>
      <c r="L366" s="1199"/>
      <c r="M366" s="636" t="s">
        <v>123</v>
      </c>
      <c r="N366" s="549"/>
      <c r="O366" s="544">
        <v>554</v>
      </c>
      <c r="P366" s="544">
        <v>554</v>
      </c>
      <c r="Q366" s="675">
        <v>554</v>
      </c>
      <c r="R366" s="48"/>
      <c r="S366" s="48"/>
      <c r="T366" s="48"/>
      <c r="U366" s="48"/>
      <c r="V366" s="48"/>
    </row>
    <row r="367" spans="2:22" ht="24" customHeight="1" thickBot="1" x14ac:dyDescent="0.3">
      <c r="B367" s="1204"/>
      <c r="C367" s="1192"/>
      <c r="D367" s="673"/>
      <c r="E367" s="1199"/>
      <c r="F367" s="1201"/>
      <c r="G367" s="1201"/>
      <c r="H367" s="1209"/>
      <c r="I367" s="1199"/>
      <c r="J367" s="1199"/>
      <c r="K367" s="1199"/>
      <c r="L367" s="1199"/>
      <c r="M367" s="672" t="s">
        <v>124</v>
      </c>
      <c r="N367" s="550"/>
      <c r="O367" s="544">
        <v>17096.847000000002</v>
      </c>
      <c r="P367" s="544">
        <v>17389.874400000001</v>
      </c>
      <c r="Q367" s="675">
        <v>17697.862000000001</v>
      </c>
      <c r="R367" s="48"/>
      <c r="S367" s="48"/>
      <c r="T367" s="48"/>
      <c r="U367" s="48"/>
      <c r="V367" s="48"/>
    </row>
    <row r="368" spans="2:22" ht="22.5" customHeight="1" thickBot="1" x14ac:dyDescent="0.3">
      <c r="B368" s="1241"/>
      <c r="C368" s="1192"/>
      <c r="D368" s="673"/>
      <c r="E368" s="1199"/>
      <c r="F368" s="1201"/>
      <c r="G368" s="1201"/>
      <c r="H368" s="1209"/>
      <c r="I368" s="1199"/>
      <c r="J368" s="1199"/>
      <c r="K368" s="1199"/>
      <c r="L368" s="1199"/>
      <c r="M368" s="671" t="s">
        <v>745</v>
      </c>
      <c r="N368" s="543"/>
      <c r="O368" s="544">
        <v>0</v>
      </c>
      <c r="P368" s="544">
        <v>0</v>
      </c>
      <c r="Q368" s="675">
        <v>0</v>
      </c>
      <c r="R368" s="48"/>
      <c r="S368" s="48"/>
      <c r="T368" s="48"/>
      <c r="U368" s="48"/>
      <c r="V368" s="48"/>
    </row>
    <row r="369" spans="2:22" ht="54.75" customHeight="1" thickBot="1" x14ac:dyDescent="0.3">
      <c r="B369" s="1240" t="s">
        <v>172</v>
      </c>
      <c r="C369" s="1215" t="s">
        <v>590</v>
      </c>
      <c r="D369" s="1229" t="s">
        <v>533</v>
      </c>
      <c r="E369" s="1207" t="s">
        <v>452</v>
      </c>
      <c r="F369" s="580" t="s">
        <v>286</v>
      </c>
      <c r="G369" s="652" t="s">
        <v>187</v>
      </c>
      <c r="H369" s="596" t="s">
        <v>241</v>
      </c>
      <c r="I369" s="593">
        <f>30+460+627</f>
        <v>1117</v>
      </c>
      <c r="J369" s="1207" t="s">
        <v>462</v>
      </c>
      <c r="K369" s="593">
        <f>30+460+627</f>
        <v>1117</v>
      </c>
      <c r="L369" s="593">
        <f>30+460+627</f>
        <v>1117</v>
      </c>
      <c r="M369" s="542" t="s">
        <v>122</v>
      </c>
      <c r="N369" s="543"/>
      <c r="O369" s="544">
        <f>O370+O371+O372</f>
        <v>35365.106</v>
      </c>
      <c r="P369" s="544">
        <f>P370+P371+P372</f>
        <v>35990.224439999998</v>
      </c>
      <c r="Q369" s="675">
        <f>Q370+Q371+Q372</f>
        <v>36646.19</v>
      </c>
      <c r="R369" s="48"/>
      <c r="S369" s="48"/>
      <c r="T369" s="48"/>
      <c r="U369" s="48"/>
      <c r="V369" s="48"/>
    </row>
    <row r="370" spans="2:22" ht="57.75" customHeight="1" thickBot="1" x14ac:dyDescent="0.3">
      <c r="B370" s="1204"/>
      <c r="C370" s="1192"/>
      <c r="D370" s="1230"/>
      <c r="E370" s="1199"/>
      <c r="F370" s="583" t="s">
        <v>699</v>
      </c>
      <c r="G370" s="653" t="s">
        <v>701</v>
      </c>
      <c r="H370" s="577" t="s">
        <v>244</v>
      </c>
      <c r="I370" s="594" t="s">
        <v>572</v>
      </c>
      <c r="J370" s="1199"/>
      <c r="K370" s="594" t="s">
        <v>572</v>
      </c>
      <c r="L370" s="594" t="s">
        <v>572</v>
      </c>
      <c r="M370" s="636" t="s">
        <v>123</v>
      </c>
      <c r="N370" s="549"/>
      <c r="O370" s="544">
        <v>1098</v>
      </c>
      <c r="P370" s="544">
        <v>1098</v>
      </c>
      <c r="Q370" s="675">
        <v>1098</v>
      </c>
      <c r="R370" s="48"/>
      <c r="S370" s="48"/>
      <c r="T370" s="48"/>
      <c r="U370" s="48"/>
      <c r="V370" s="48"/>
    </row>
    <row r="371" spans="2:22" ht="22.5" customHeight="1" thickBot="1" x14ac:dyDescent="0.3">
      <c r="B371" s="1204"/>
      <c r="C371" s="1192"/>
      <c r="D371" s="1245"/>
      <c r="E371" s="1199"/>
      <c r="F371" s="1255" t="s">
        <v>708</v>
      </c>
      <c r="G371" s="1234" t="s">
        <v>234</v>
      </c>
      <c r="H371" s="1312" t="s">
        <v>393</v>
      </c>
      <c r="I371" s="1236" t="s">
        <v>263</v>
      </c>
      <c r="J371" s="1199"/>
      <c r="K371" s="1236" t="s">
        <v>263</v>
      </c>
      <c r="L371" s="1236" t="s">
        <v>263</v>
      </c>
      <c r="M371" s="672" t="s">
        <v>124</v>
      </c>
      <c r="N371" s="550"/>
      <c r="O371" s="544">
        <v>34267.106</v>
      </c>
      <c r="P371" s="544">
        <v>34892.224439999998</v>
      </c>
      <c r="Q371" s="675">
        <v>35548.19</v>
      </c>
      <c r="R371" s="48"/>
      <c r="S371" s="48"/>
      <c r="T371" s="48"/>
      <c r="U371" s="48"/>
      <c r="V371" s="48"/>
    </row>
    <row r="372" spans="2:22" ht="41.25" customHeight="1" thickBot="1" x14ac:dyDescent="0.3">
      <c r="B372" s="1241"/>
      <c r="C372" s="1216"/>
      <c r="D372" s="674"/>
      <c r="E372" s="1208"/>
      <c r="F372" s="1256"/>
      <c r="G372" s="1202"/>
      <c r="H372" s="1210"/>
      <c r="I372" s="1208"/>
      <c r="J372" s="1208"/>
      <c r="K372" s="1208"/>
      <c r="L372" s="1208"/>
      <c r="M372" s="547" t="s">
        <v>745</v>
      </c>
      <c r="N372" s="549"/>
      <c r="O372" s="551">
        <v>0</v>
      </c>
      <c r="P372" s="551">
        <v>0</v>
      </c>
      <c r="Q372" s="552">
        <v>0</v>
      </c>
      <c r="R372" s="48"/>
      <c r="S372" s="48"/>
      <c r="T372" s="48"/>
      <c r="U372" s="48"/>
      <c r="V372" s="48"/>
    </row>
    <row r="373" spans="2:22" ht="25.5" customHeight="1" thickBot="1" x14ac:dyDescent="0.3">
      <c r="B373" s="1240" t="s">
        <v>172</v>
      </c>
      <c r="C373" s="1192" t="s">
        <v>557</v>
      </c>
      <c r="D373" s="673" t="s">
        <v>382</v>
      </c>
      <c r="E373" s="1199" t="s">
        <v>383</v>
      </c>
      <c r="F373" s="1201" t="s">
        <v>286</v>
      </c>
      <c r="G373" s="1201" t="s">
        <v>187</v>
      </c>
      <c r="H373" s="1209" t="s">
        <v>241</v>
      </c>
      <c r="I373" s="1199">
        <v>18</v>
      </c>
      <c r="J373" s="1199" t="s">
        <v>462</v>
      </c>
      <c r="K373" s="1199">
        <v>18</v>
      </c>
      <c r="L373" s="1199">
        <v>18</v>
      </c>
      <c r="M373" s="672" t="s">
        <v>122</v>
      </c>
      <c r="N373" s="550"/>
      <c r="O373" s="561">
        <f>O374+O375+O376</f>
        <v>1913.5</v>
      </c>
      <c r="P373" s="561">
        <f>P374+P375+P376</f>
        <v>1960.8444</v>
      </c>
      <c r="Q373" s="562">
        <f>Q374+Q375+Q376</f>
        <v>2010.3982800000001</v>
      </c>
      <c r="R373" s="48"/>
      <c r="S373" s="48"/>
      <c r="T373" s="48"/>
      <c r="U373" s="48"/>
      <c r="V373" s="48"/>
    </row>
    <row r="374" spans="2:22" ht="24" customHeight="1" thickBot="1" x14ac:dyDescent="0.3">
      <c r="B374" s="1204"/>
      <c r="C374" s="1192"/>
      <c r="D374" s="680"/>
      <c r="E374" s="1199"/>
      <c r="F374" s="1201"/>
      <c r="G374" s="1201"/>
      <c r="H374" s="1209"/>
      <c r="I374" s="1199"/>
      <c r="J374" s="1199"/>
      <c r="K374" s="1199"/>
      <c r="L374" s="1199"/>
      <c r="M374" s="636" t="s">
        <v>123</v>
      </c>
      <c r="N374" s="549"/>
      <c r="O374" s="544">
        <v>0</v>
      </c>
      <c r="P374" s="544">
        <v>0</v>
      </c>
      <c r="Q374" s="675">
        <v>0</v>
      </c>
      <c r="R374" s="48"/>
      <c r="S374" s="48"/>
      <c r="T374" s="48"/>
      <c r="U374" s="48"/>
      <c r="V374" s="48"/>
    </row>
    <row r="375" spans="2:22" ht="24" customHeight="1" thickBot="1" x14ac:dyDescent="0.3">
      <c r="B375" s="1204"/>
      <c r="C375" s="1192"/>
      <c r="D375" s="680"/>
      <c r="E375" s="1199"/>
      <c r="F375" s="1201"/>
      <c r="G375" s="1201"/>
      <c r="H375" s="1209"/>
      <c r="I375" s="1199"/>
      <c r="J375" s="1199"/>
      <c r="K375" s="1199"/>
      <c r="L375" s="1199"/>
      <c r="M375" s="672" t="s">
        <v>124</v>
      </c>
      <c r="N375" s="550"/>
      <c r="O375" s="544">
        <v>1913.5</v>
      </c>
      <c r="P375" s="544">
        <v>1960.8444</v>
      </c>
      <c r="Q375" s="675">
        <v>2010.3982800000001</v>
      </c>
      <c r="R375" s="48"/>
      <c r="S375" s="48"/>
      <c r="T375" s="48"/>
      <c r="U375" s="48"/>
      <c r="V375" s="48"/>
    </row>
    <row r="376" spans="2:22" ht="23.25" customHeight="1" thickBot="1" x14ac:dyDescent="0.3">
      <c r="B376" s="1241"/>
      <c r="C376" s="1239"/>
      <c r="D376" s="680"/>
      <c r="E376" s="1237"/>
      <c r="F376" s="1235"/>
      <c r="G376" s="1235"/>
      <c r="H376" s="1291"/>
      <c r="I376" s="1237"/>
      <c r="J376" s="1237"/>
      <c r="K376" s="1237"/>
      <c r="L376" s="1237"/>
      <c r="M376" s="547" t="s">
        <v>745</v>
      </c>
      <c r="N376" s="549"/>
      <c r="O376" s="551">
        <v>0</v>
      </c>
      <c r="P376" s="551">
        <v>0</v>
      </c>
      <c r="Q376" s="552">
        <v>0</v>
      </c>
      <c r="R376" s="48"/>
      <c r="S376" s="48"/>
      <c r="T376" s="48"/>
      <c r="U376" s="48"/>
      <c r="V376" s="48"/>
    </row>
    <row r="377" spans="2:22" ht="30" customHeight="1" thickBot="1" x14ac:dyDescent="0.3">
      <c r="B377" s="1240" t="s">
        <v>172</v>
      </c>
      <c r="C377" s="1238" t="s">
        <v>590</v>
      </c>
      <c r="D377" s="555">
        <v>27301835</v>
      </c>
      <c r="E377" s="1236" t="s">
        <v>384</v>
      </c>
      <c r="F377" s="1234" t="s">
        <v>286</v>
      </c>
      <c r="G377" s="1234" t="s">
        <v>187</v>
      </c>
      <c r="H377" s="1312" t="s">
        <v>241</v>
      </c>
      <c r="I377" s="1236">
        <f>146+249</f>
        <v>395</v>
      </c>
      <c r="J377" s="1236" t="s">
        <v>462</v>
      </c>
      <c r="K377" s="1236">
        <f>146+249</f>
        <v>395</v>
      </c>
      <c r="L377" s="1236">
        <f>146+249</f>
        <v>395</v>
      </c>
      <c r="M377" s="542" t="s">
        <v>122</v>
      </c>
      <c r="N377" s="543"/>
      <c r="O377" s="561">
        <f>O378+O379+O380</f>
        <v>10102.299999999999</v>
      </c>
      <c r="P377" s="561">
        <f>P378+P379+P380</f>
        <v>10315.244000000001</v>
      </c>
      <c r="Q377" s="562">
        <f>Q378+Q379+Q380</f>
        <v>10538.693240000001</v>
      </c>
      <c r="R377" s="48"/>
      <c r="S377" s="48"/>
      <c r="T377" s="48"/>
      <c r="U377" s="48"/>
      <c r="V377" s="48"/>
    </row>
    <row r="378" spans="2:22" ht="30" customHeight="1" thickBot="1" x14ac:dyDescent="0.3">
      <c r="B378" s="1204"/>
      <c r="C378" s="1192"/>
      <c r="D378" s="555"/>
      <c r="E378" s="1199"/>
      <c r="F378" s="1201"/>
      <c r="G378" s="1201"/>
      <c r="H378" s="1209"/>
      <c r="I378" s="1199"/>
      <c r="J378" s="1199"/>
      <c r="K378" s="1199"/>
      <c r="L378" s="1199"/>
      <c r="M378" s="636" t="s">
        <v>123</v>
      </c>
      <c r="N378" s="549"/>
      <c r="O378" s="544">
        <v>391</v>
      </c>
      <c r="P378" s="544">
        <v>391</v>
      </c>
      <c r="Q378" s="675">
        <v>391</v>
      </c>
      <c r="R378" s="48"/>
      <c r="S378" s="48"/>
      <c r="T378" s="48"/>
      <c r="U378" s="48"/>
      <c r="V378" s="48"/>
    </row>
    <row r="379" spans="2:22" ht="25.5" customHeight="1" thickBot="1" x14ac:dyDescent="0.3">
      <c r="B379" s="1204"/>
      <c r="C379" s="1192"/>
      <c r="D379" s="555"/>
      <c r="E379" s="1199"/>
      <c r="F379" s="1201"/>
      <c r="G379" s="1201"/>
      <c r="H379" s="1209"/>
      <c r="I379" s="1199"/>
      <c r="J379" s="1199"/>
      <c r="K379" s="1199"/>
      <c r="L379" s="1199"/>
      <c r="M379" s="672" t="s">
        <v>124</v>
      </c>
      <c r="N379" s="550"/>
      <c r="O379" s="544">
        <v>9711.2999999999993</v>
      </c>
      <c r="P379" s="544">
        <v>9924.2440000000006</v>
      </c>
      <c r="Q379" s="675">
        <v>10147.693240000001</v>
      </c>
      <c r="R379" s="48"/>
      <c r="S379" s="48"/>
      <c r="T379" s="48"/>
      <c r="U379" s="48"/>
      <c r="V379" s="48"/>
    </row>
    <row r="380" spans="2:22" ht="27.75" customHeight="1" thickBot="1" x14ac:dyDescent="0.3">
      <c r="B380" s="1241"/>
      <c r="C380" s="1239"/>
      <c r="D380" s="555"/>
      <c r="E380" s="1237"/>
      <c r="F380" s="1235"/>
      <c r="G380" s="1235"/>
      <c r="H380" s="1291"/>
      <c r="I380" s="1237"/>
      <c r="J380" s="1237"/>
      <c r="K380" s="1237"/>
      <c r="L380" s="1237"/>
      <c r="M380" s="547" t="s">
        <v>745</v>
      </c>
      <c r="N380" s="549"/>
      <c r="O380" s="551">
        <v>0</v>
      </c>
      <c r="P380" s="551">
        <v>0</v>
      </c>
      <c r="Q380" s="552">
        <v>0</v>
      </c>
      <c r="R380" s="48"/>
      <c r="S380" s="48"/>
      <c r="T380" s="48"/>
      <c r="U380" s="48"/>
      <c r="V380" s="48"/>
    </row>
    <row r="381" spans="2:22" ht="29.25" customHeight="1" thickBot="1" x14ac:dyDescent="0.3">
      <c r="B381" s="1240" t="s">
        <v>172</v>
      </c>
      <c r="C381" s="1238" t="s">
        <v>590</v>
      </c>
      <c r="D381" s="555">
        <v>27301832</v>
      </c>
      <c r="E381" s="1236" t="s">
        <v>385</v>
      </c>
      <c r="F381" s="1234" t="s">
        <v>286</v>
      </c>
      <c r="G381" s="1236" t="s">
        <v>187</v>
      </c>
      <c r="H381" s="1312" t="s">
        <v>241</v>
      </c>
      <c r="I381" s="1236">
        <f>12+208+190</f>
        <v>410</v>
      </c>
      <c r="J381" s="1236" t="s">
        <v>462</v>
      </c>
      <c r="K381" s="1236">
        <f>12+208+190</f>
        <v>410</v>
      </c>
      <c r="L381" s="1236">
        <f>12+208+190</f>
        <v>410</v>
      </c>
      <c r="M381" s="542" t="s">
        <v>122</v>
      </c>
      <c r="N381" s="543"/>
      <c r="O381" s="561">
        <f>O382+O383+O384</f>
        <v>11025.486999999999</v>
      </c>
      <c r="P381" s="561">
        <f>P382+P383+P384</f>
        <v>11246.7644</v>
      </c>
      <c r="Q381" s="562">
        <f>Q382+Q383+Q384</f>
        <v>11478.95702</v>
      </c>
      <c r="R381" s="48"/>
      <c r="S381" s="48"/>
      <c r="T381" s="48"/>
      <c r="U381" s="48"/>
      <c r="V381" s="48"/>
    </row>
    <row r="382" spans="2:22" ht="27.75" customHeight="1" thickBot="1" x14ac:dyDescent="0.3">
      <c r="B382" s="1204"/>
      <c r="C382" s="1192"/>
      <c r="D382" s="555"/>
      <c r="E382" s="1199"/>
      <c r="F382" s="1201"/>
      <c r="G382" s="1199"/>
      <c r="H382" s="1209"/>
      <c r="I382" s="1199"/>
      <c r="J382" s="1199"/>
      <c r="K382" s="1199"/>
      <c r="L382" s="1199"/>
      <c r="M382" s="636" t="s">
        <v>123</v>
      </c>
      <c r="N382" s="549"/>
      <c r="O382" s="544">
        <v>391</v>
      </c>
      <c r="P382" s="544">
        <v>391</v>
      </c>
      <c r="Q382" s="675">
        <v>391</v>
      </c>
      <c r="R382" s="48"/>
      <c r="S382" s="48"/>
      <c r="T382" s="48"/>
      <c r="U382" s="48"/>
      <c r="V382" s="48"/>
    </row>
    <row r="383" spans="2:22" ht="29.25" customHeight="1" thickBot="1" x14ac:dyDescent="0.3">
      <c r="B383" s="1204"/>
      <c r="C383" s="1192"/>
      <c r="D383" s="555"/>
      <c r="E383" s="1199"/>
      <c r="F383" s="1201"/>
      <c r="G383" s="1199"/>
      <c r="H383" s="1209"/>
      <c r="I383" s="1199"/>
      <c r="J383" s="1199"/>
      <c r="K383" s="1199"/>
      <c r="L383" s="1199"/>
      <c r="M383" s="672" t="s">
        <v>124</v>
      </c>
      <c r="N383" s="550"/>
      <c r="O383" s="544">
        <v>10634.486999999999</v>
      </c>
      <c r="P383" s="544">
        <v>10855.7644</v>
      </c>
      <c r="Q383" s="675">
        <v>11087.95702</v>
      </c>
      <c r="R383" s="48"/>
      <c r="S383" s="48"/>
      <c r="T383" s="48"/>
      <c r="U383" s="48"/>
      <c r="V383" s="48"/>
    </row>
    <row r="384" spans="2:22" ht="26.25" customHeight="1" thickBot="1" x14ac:dyDescent="0.3">
      <c r="B384" s="1204"/>
      <c r="C384" s="1192"/>
      <c r="D384" s="555"/>
      <c r="E384" s="1199"/>
      <c r="F384" s="1202"/>
      <c r="G384" s="1199"/>
      <c r="H384" s="1209"/>
      <c r="I384" s="1199"/>
      <c r="J384" s="1199"/>
      <c r="K384" s="1199"/>
      <c r="L384" s="1199"/>
      <c r="M384" s="547" t="s">
        <v>745</v>
      </c>
      <c r="N384" s="549"/>
      <c r="O384" s="551">
        <v>0</v>
      </c>
      <c r="P384" s="551">
        <v>0</v>
      </c>
      <c r="Q384" s="552">
        <v>0</v>
      </c>
      <c r="R384" s="48"/>
      <c r="S384" s="48"/>
      <c r="T384" s="48"/>
      <c r="U384" s="48"/>
      <c r="V384" s="48"/>
    </row>
    <row r="385" spans="2:22" ht="27" customHeight="1" thickBot="1" x14ac:dyDescent="0.3">
      <c r="B385" s="1206" t="s">
        <v>172</v>
      </c>
      <c r="C385" s="1207" t="s">
        <v>590</v>
      </c>
      <c r="D385" s="555">
        <v>27302165</v>
      </c>
      <c r="E385" s="1207" t="s">
        <v>422</v>
      </c>
      <c r="F385" s="1200" t="s">
        <v>286</v>
      </c>
      <c r="G385" s="1200" t="s">
        <v>187</v>
      </c>
      <c r="H385" s="1232" t="s">
        <v>241</v>
      </c>
      <c r="I385" s="1207">
        <f>12+233+208</f>
        <v>453</v>
      </c>
      <c r="J385" s="1207" t="s">
        <v>462</v>
      </c>
      <c r="K385" s="1207">
        <f>12+233+208</f>
        <v>453</v>
      </c>
      <c r="L385" s="1207">
        <f>12+233+208</f>
        <v>453</v>
      </c>
      <c r="M385" s="542" t="s">
        <v>122</v>
      </c>
      <c r="N385" s="543"/>
      <c r="O385" s="561">
        <f>O386+O387+O388</f>
        <v>34600.735000000001</v>
      </c>
      <c r="P385" s="561">
        <f>P386+P387+P388</f>
        <v>35185.303999999996</v>
      </c>
      <c r="Q385" s="562">
        <f>Q386+Q387+Q388</f>
        <v>35798.208429999999</v>
      </c>
      <c r="R385" s="48"/>
      <c r="S385" s="48"/>
      <c r="T385" s="48"/>
      <c r="U385" s="48"/>
      <c r="V385" s="48"/>
    </row>
    <row r="386" spans="2:22" ht="24" customHeight="1" thickBot="1" x14ac:dyDescent="0.3">
      <c r="B386" s="1204"/>
      <c r="C386" s="1199"/>
      <c r="D386" s="555"/>
      <c r="E386" s="1199"/>
      <c r="F386" s="1201"/>
      <c r="G386" s="1201"/>
      <c r="H386" s="1209"/>
      <c r="I386" s="1199"/>
      <c r="J386" s="1199"/>
      <c r="K386" s="1199"/>
      <c r="L386" s="1199"/>
      <c r="M386" s="636" t="s">
        <v>123</v>
      </c>
      <c r="N386" s="549"/>
      <c r="O386" s="544">
        <v>445</v>
      </c>
      <c r="P386" s="544">
        <v>445</v>
      </c>
      <c r="Q386" s="675">
        <v>445</v>
      </c>
      <c r="R386" s="48"/>
      <c r="S386" s="48"/>
      <c r="T386" s="48"/>
      <c r="U386" s="48"/>
      <c r="V386" s="48"/>
    </row>
    <row r="387" spans="2:22" ht="21.75" customHeight="1" thickBot="1" x14ac:dyDescent="0.3">
      <c r="B387" s="1204"/>
      <c r="C387" s="1199"/>
      <c r="D387" s="555"/>
      <c r="E387" s="1199"/>
      <c r="F387" s="1201"/>
      <c r="G387" s="1201"/>
      <c r="H387" s="1209"/>
      <c r="I387" s="1199"/>
      <c r="J387" s="1199"/>
      <c r="K387" s="1199"/>
      <c r="L387" s="1199"/>
      <c r="M387" s="672" t="s">
        <v>124</v>
      </c>
      <c r="N387" s="550"/>
      <c r="O387" s="544">
        <v>34155.735000000001</v>
      </c>
      <c r="P387" s="544">
        <v>34740.303999999996</v>
      </c>
      <c r="Q387" s="675">
        <v>35353.208429999999</v>
      </c>
      <c r="R387" s="48"/>
      <c r="S387" s="48"/>
      <c r="T387" s="48"/>
      <c r="U387" s="48"/>
      <c r="V387" s="48"/>
    </row>
    <row r="388" spans="2:22" ht="22.5" customHeight="1" thickBot="1" x14ac:dyDescent="0.3">
      <c r="B388" s="1205"/>
      <c r="C388" s="1208"/>
      <c r="D388" s="555"/>
      <c r="E388" s="1208"/>
      <c r="F388" s="1202"/>
      <c r="G388" s="1202"/>
      <c r="H388" s="1210"/>
      <c r="I388" s="1208"/>
      <c r="J388" s="1208"/>
      <c r="K388" s="1208"/>
      <c r="L388" s="1208"/>
      <c r="M388" s="547" t="s">
        <v>745</v>
      </c>
      <c r="N388" s="549"/>
      <c r="O388" s="551">
        <v>0</v>
      </c>
      <c r="P388" s="551">
        <v>0</v>
      </c>
      <c r="Q388" s="552">
        <v>0</v>
      </c>
      <c r="R388" s="48"/>
      <c r="S388" s="48"/>
      <c r="T388" s="48"/>
      <c r="U388" s="48"/>
      <c r="V388" s="48"/>
    </row>
    <row r="389" spans="2:22" ht="21.75" customHeight="1" thickBot="1" x14ac:dyDescent="0.3">
      <c r="B389" s="1206" t="s">
        <v>172</v>
      </c>
      <c r="C389" s="1207" t="s">
        <v>590</v>
      </c>
      <c r="D389" s="555">
        <v>27301821</v>
      </c>
      <c r="E389" s="1207" t="s">
        <v>525</v>
      </c>
      <c r="F389" s="1201" t="s">
        <v>286</v>
      </c>
      <c r="G389" s="1200" t="s">
        <v>187</v>
      </c>
      <c r="H389" s="1209" t="s">
        <v>241</v>
      </c>
      <c r="I389" s="1207">
        <f>4+99+160+6+74+120</f>
        <v>463</v>
      </c>
      <c r="J389" s="1207" t="s">
        <v>462</v>
      </c>
      <c r="K389" s="1207">
        <f>4+99+160+6+74+120</f>
        <v>463</v>
      </c>
      <c r="L389" s="1207">
        <f>4+99+160+6+74+120</f>
        <v>463</v>
      </c>
      <c r="M389" s="542" t="s">
        <v>122</v>
      </c>
      <c r="N389" s="543"/>
      <c r="O389" s="561">
        <f>O390+O391+O392</f>
        <v>10129.65</v>
      </c>
      <c r="P389" s="561">
        <f>P390+P391+P392</f>
        <v>10336.5149</v>
      </c>
      <c r="Q389" s="562">
        <f>Q390+Q391+Q392</f>
        <v>10553.86188</v>
      </c>
      <c r="R389" s="48"/>
      <c r="S389" s="48"/>
      <c r="T389" s="48"/>
      <c r="U389" s="48"/>
      <c r="V389" s="48"/>
    </row>
    <row r="390" spans="2:22" ht="18.75" customHeight="1" thickBot="1" x14ac:dyDescent="0.3">
      <c r="B390" s="1204"/>
      <c r="C390" s="1199"/>
      <c r="D390" s="680"/>
      <c r="E390" s="1199"/>
      <c r="F390" s="1201"/>
      <c r="G390" s="1201"/>
      <c r="H390" s="1209"/>
      <c r="I390" s="1199"/>
      <c r="J390" s="1199"/>
      <c r="K390" s="1199"/>
      <c r="L390" s="1199"/>
      <c r="M390" s="636" t="s">
        <v>123</v>
      </c>
      <c r="N390" s="549"/>
      <c r="O390" s="544">
        <v>465</v>
      </c>
      <c r="P390" s="544">
        <v>465</v>
      </c>
      <c r="Q390" s="675">
        <v>465</v>
      </c>
      <c r="R390" s="48"/>
      <c r="S390" s="48"/>
      <c r="T390" s="48"/>
      <c r="U390" s="48"/>
      <c r="V390" s="48"/>
    </row>
    <row r="391" spans="2:22" ht="18.75" customHeight="1" thickBot="1" x14ac:dyDescent="0.3">
      <c r="B391" s="1204"/>
      <c r="C391" s="1199"/>
      <c r="D391" s="680"/>
      <c r="E391" s="1199"/>
      <c r="F391" s="1201"/>
      <c r="G391" s="1201"/>
      <c r="H391" s="1209"/>
      <c r="I391" s="1199"/>
      <c r="J391" s="1199"/>
      <c r="K391" s="1199"/>
      <c r="L391" s="1199"/>
      <c r="M391" s="672" t="s">
        <v>124</v>
      </c>
      <c r="N391" s="550"/>
      <c r="O391" s="544">
        <v>9664.65</v>
      </c>
      <c r="P391" s="544">
        <v>9871.5149000000001</v>
      </c>
      <c r="Q391" s="675">
        <v>10088.86188</v>
      </c>
      <c r="R391" s="48"/>
      <c r="S391" s="48"/>
      <c r="T391" s="48"/>
      <c r="U391" s="48"/>
      <c r="V391" s="48"/>
    </row>
    <row r="392" spans="2:22" ht="21" customHeight="1" thickBot="1" x14ac:dyDescent="0.3">
      <c r="B392" s="1205"/>
      <c r="C392" s="1208"/>
      <c r="D392" s="680"/>
      <c r="E392" s="1208"/>
      <c r="F392" s="1202"/>
      <c r="G392" s="1202"/>
      <c r="H392" s="1210"/>
      <c r="I392" s="1208"/>
      <c r="J392" s="1208"/>
      <c r="K392" s="1208"/>
      <c r="L392" s="1208"/>
      <c r="M392" s="547" t="s">
        <v>745</v>
      </c>
      <c r="N392" s="549"/>
      <c r="O392" s="551">
        <v>0</v>
      </c>
      <c r="P392" s="551">
        <v>0</v>
      </c>
      <c r="Q392" s="552">
        <v>0</v>
      </c>
      <c r="R392" s="48"/>
      <c r="S392" s="48"/>
      <c r="T392" s="48"/>
      <c r="U392" s="48"/>
      <c r="V392" s="48"/>
    </row>
    <row r="393" spans="2:22" ht="25.5" customHeight="1" thickBot="1" x14ac:dyDescent="0.3">
      <c r="B393" s="1269" t="s">
        <v>172</v>
      </c>
      <c r="C393" s="1207" t="s">
        <v>590</v>
      </c>
      <c r="D393" s="1229">
        <v>27301829</v>
      </c>
      <c r="E393" s="1207" t="s">
        <v>426</v>
      </c>
      <c r="F393" s="1200" t="s">
        <v>286</v>
      </c>
      <c r="G393" s="1200" t="s">
        <v>187</v>
      </c>
      <c r="H393" s="1232" t="s">
        <v>241</v>
      </c>
      <c r="I393" s="1207">
        <f>1+11+58+126</f>
        <v>196</v>
      </c>
      <c r="J393" s="1207" t="s">
        <v>462</v>
      </c>
      <c r="K393" s="1207">
        <f>1+11+58+126</f>
        <v>196</v>
      </c>
      <c r="L393" s="1207">
        <f>1+11+58+126</f>
        <v>196</v>
      </c>
      <c r="M393" s="542" t="s">
        <v>122</v>
      </c>
      <c r="N393" s="543"/>
      <c r="O393" s="561">
        <f>O394+O395+O396</f>
        <v>13780.847</v>
      </c>
      <c r="P393" s="561">
        <f>P394+P395+P396</f>
        <v>14084.714</v>
      </c>
      <c r="Q393" s="562">
        <f>Q394+Q395+Q396</f>
        <v>14403.70334</v>
      </c>
      <c r="R393" s="48"/>
      <c r="S393" s="48"/>
      <c r="T393" s="48"/>
      <c r="U393" s="48"/>
      <c r="V393" s="48"/>
    </row>
    <row r="394" spans="2:22" ht="35.25" customHeight="1" thickBot="1" x14ac:dyDescent="0.3">
      <c r="B394" s="1270"/>
      <c r="C394" s="1199"/>
      <c r="D394" s="1230"/>
      <c r="E394" s="1199"/>
      <c r="F394" s="1202"/>
      <c r="G394" s="1202"/>
      <c r="H394" s="1210"/>
      <c r="I394" s="1208"/>
      <c r="J394" s="1199"/>
      <c r="K394" s="1208"/>
      <c r="L394" s="1208"/>
      <c r="M394" s="636" t="s">
        <v>123</v>
      </c>
      <c r="N394" s="549"/>
      <c r="O394" s="544">
        <v>226</v>
      </c>
      <c r="P394" s="544">
        <v>226</v>
      </c>
      <c r="Q394" s="675">
        <v>226</v>
      </c>
      <c r="R394" s="48"/>
      <c r="S394" s="48"/>
      <c r="T394" s="48"/>
      <c r="U394" s="48"/>
      <c r="V394" s="48"/>
    </row>
    <row r="395" spans="2:22" ht="22.5" customHeight="1" thickBot="1" x14ac:dyDescent="0.3">
      <c r="B395" s="1270"/>
      <c r="C395" s="1199"/>
      <c r="D395" s="1245"/>
      <c r="E395" s="1199"/>
      <c r="F395" s="1198" t="s">
        <v>448</v>
      </c>
      <c r="G395" s="1201" t="s">
        <v>187</v>
      </c>
      <c r="H395" s="1209" t="s">
        <v>241</v>
      </c>
      <c r="I395" s="1199">
        <f>4+7+8+3+10+5</f>
        <v>37</v>
      </c>
      <c r="J395" s="1199"/>
      <c r="K395" s="1199">
        <f>4+7+8+3+10+5</f>
        <v>37</v>
      </c>
      <c r="L395" s="1199">
        <f>4+7+8+3+10+5</f>
        <v>37</v>
      </c>
      <c r="M395" s="672" t="s">
        <v>124</v>
      </c>
      <c r="N395" s="550"/>
      <c r="O395" s="544">
        <v>13554.847</v>
      </c>
      <c r="P395" s="544">
        <v>13858.714</v>
      </c>
      <c r="Q395" s="675">
        <v>14177.70334</v>
      </c>
      <c r="R395" s="48"/>
      <c r="S395" s="48"/>
      <c r="T395" s="48"/>
      <c r="U395" s="48"/>
      <c r="V395" s="48"/>
    </row>
    <row r="396" spans="2:22" ht="35.25" customHeight="1" thickBot="1" x14ac:dyDescent="0.3">
      <c r="B396" s="1271"/>
      <c r="C396" s="1208"/>
      <c r="D396" s="674"/>
      <c r="E396" s="1208"/>
      <c r="F396" s="1313"/>
      <c r="G396" s="1202"/>
      <c r="H396" s="1210"/>
      <c r="I396" s="1208"/>
      <c r="J396" s="1208"/>
      <c r="K396" s="1208"/>
      <c r="L396" s="1208"/>
      <c r="M396" s="547" t="s">
        <v>745</v>
      </c>
      <c r="N396" s="549"/>
      <c r="O396" s="551">
        <v>0</v>
      </c>
      <c r="P396" s="551">
        <v>0</v>
      </c>
      <c r="Q396" s="552">
        <v>0</v>
      </c>
      <c r="R396" s="48"/>
      <c r="S396" s="48"/>
      <c r="T396" s="48"/>
      <c r="U396" s="48"/>
      <c r="V396" s="48"/>
    </row>
    <row r="397" spans="2:22" ht="29.25" customHeight="1" thickBot="1" x14ac:dyDescent="0.3">
      <c r="B397" s="1269" t="s">
        <v>172</v>
      </c>
      <c r="C397" s="1207" t="s">
        <v>590</v>
      </c>
      <c r="D397" s="573">
        <v>27301967</v>
      </c>
      <c r="E397" s="1229" t="s">
        <v>459</v>
      </c>
      <c r="F397" s="1200" t="str">
        <f>F377</f>
        <v xml:space="preserve">Спортивная подготовка по олимпийским видам спорта </v>
      </c>
      <c r="G397" s="1200" t="s">
        <v>187</v>
      </c>
      <c r="H397" s="1232" t="s">
        <v>241</v>
      </c>
      <c r="I397" s="1207" t="s">
        <v>553</v>
      </c>
      <c r="J397" s="1207" t="s">
        <v>462</v>
      </c>
      <c r="K397" s="1207" t="s">
        <v>553</v>
      </c>
      <c r="L397" s="1207" t="s">
        <v>553</v>
      </c>
      <c r="M397" s="542" t="s">
        <v>122</v>
      </c>
      <c r="N397" s="543"/>
      <c r="O397" s="544">
        <f>O398+O399+O400</f>
        <v>3033.1320000000001</v>
      </c>
      <c r="P397" s="544">
        <f>P398+P399+P400</f>
        <v>3102.9149000000002</v>
      </c>
      <c r="Q397" s="552">
        <f>Q398+Q399+Q400</f>
        <v>3174.8735700000002</v>
      </c>
      <c r="R397" s="48"/>
      <c r="S397" s="48"/>
      <c r="T397" s="48"/>
      <c r="U397" s="48"/>
      <c r="V397" s="48"/>
    </row>
    <row r="398" spans="2:22" ht="24.75" customHeight="1" thickBot="1" x14ac:dyDescent="0.3">
      <c r="B398" s="1270"/>
      <c r="C398" s="1199"/>
      <c r="D398" s="682"/>
      <c r="E398" s="1230"/>
      <c r="F398" s="1201"/>
      <c r="G398" s="1201"/>
      <c r="H398" s="1209"/>
      <c r="I398" s="1199"/>
      <c r="J398" s="1199"/>
      <c r="K398" s="1199"/>
      <c r="L398" s="1199"/>
      <c r="M398" s="636" t="s">
        <v>123</v>
      </c>
      <c r="N398" s="549"/>
      <c r="O398" s="551">
        <v>0</v>
      </c>
      <c r="P398" s="551">
        <v>0</v>
      </c>
      <c r="Q398" s="552">
        <v>0</v>
      </c>
      <c r="R398" s="48"/>
      <c r="S398" s="48"/>
      <c r="T398" s="48"/>
      <c r="U398" s="48"/>
      <c r="V398" s="48"/>
    </row>
    <row r="399" spans="2:22" ht="26.25" customHeight="1" thickBot="1" x14ac:dyDescent="0.3">
      <c r="B399" s="1270"/>
      <c r="C399" s="1199"/>
      <c r="D399" s="682"/>
      <c r="E399" s="1230"/>
      <c r="F399" s="1201"/>
      <c r="G399" s="1201"/>
      <c r="H399" s="1209"/>
      <c r="I399" s="1199"/>
      <c r="J399" s="1199"/>
      <c r="K399" s="1199"/>
      <c r="L399" s="1199"/>
      <c r="M399" s="672" t="s">
        <v>124</v>
      </c>
      <c r="N399" s="550"/>
      <c r="O399" s="544">
        <v>3033.1320000000001</v>
      </c>
      <c r="P399" s="544">
        <v>3102.9149000000002</v>
      </c>
      <c r="Q399" s="675">
        <v>3174.8735700000002</v>
      </c>
      <c r="R399" s="48"/>
      <c r="S399" s="48"/>
      <c r="T399" s="48"/>
      <c r="U399" s="48"/>
      <c r="V399" s="48"/>
    </row>
    <row r="400" spans="2:22" ht="26.25" customHeight="1" thickBot="1" x14ac:dyDescent="0.3">
      <c r="B400" s="1271"/>
      <c r="C400" s="1208"/>
      <c r="D400" s="674"/>
      <c r="E400" s="1231"/>
      <c r="F400" s="1202"/>
      <c r="G400" s="1202"/>
      <c r="H400" s="1210"/>
      <c r="I400" s="1208"/>
      <c r="J400" s="1208"/>
      <c r="K400" s="1208"/>
      <c r="L400" s="1208"/>
      <c r="M400" s="547" t="s">
        <v>745</v>
      </c>
      <c r="N400" s="549"/>
      <c r="O400" s="551">
        <v>0</v>
      </c>
      <c r="P400" s="551">
        <v>0</v>
      </c>
      <c r="Q400" s="552">
        <v>0</v>
      </c>
      <c r="R400" s="48"/>
      <c r="S400" s="48"/>
      <c r="T400" s="48"/>
      <c r="U400" s="48"/>
      <c r="V400" s="48"/>
    </row>
    <row r="401" spans="2:22" ht="25.5" customHeight="1" thickBot="1" x14ac:dyDescent="0.3">
      <c r="B401" s="1206" t="s">
        <v>172</v>
      </c>
      <c r="C401" s="1215" t="s">
        <v>590</v>
      </c>
      <c r="D401" s="654" t="s">
        <v>532</v>
      </c>
      <c r="E401" s="1207" t="s">
        <v>460</v>
      </c>
      <c r="F401" s="1200" t="s">
        <v>286</v>
      </c>
      <c r="G401" s="1200" t="s">
        <v>187</v>
      </c>
      <c r="H401" s="1232" t="s">
        <v>241</v>
      </c>
      <c r="I401" s="1207">
        <f>87+69+3+20+28+30</f>
        <v>237</v>
      </c>
      <c r="J401" s="1207" t="s">
        <v>462</v>
      </c>
      <c r="K401" s="1207">
        <f>87+69+3+20+28+30</f>
        <v>237</v>
      </c>
      <c r="L401" s="1207">
        <f>87+69+3+20+28+30</f>
        <v>237</v>
      </c>
      <c r="M401" s="542" t="s">
        <v>122</v>
      </c>
      <c r="N401" s="543"/>
      <c r="O401" s="544">
        <f>O402+O403+O404</f>
        <v>25813.134999999998</v>
      </c>
      <c r="P401" s="544">
        <f>P402+P403+P404</f>
        <v>25813.144</v>
      </c>
      <c r="Q401" s="675">
        <f>Q402+Q403+Q404</f>
        <v>25813.134999999998</v>
      </c>
      <c r="R401" s="48"/>
      <c r="S401" s="48"/>
      <c r="T401" s="48"/>
      <c r="U401" s="48"/>
      <c r="V401" s="48"/>
    </row>
    <row r="402" spans="2:22" ht="24" customHeight="1" thickBot="1" x14ac:dyDescent="0.3">
      <c r="B402" s="1204"/>
      <c r="C402" s="1192"/>
      <c r="D402" s="682"/>
      <c r="E402" s="1199"/>
      <c r="F402" s="1201"/>
      <c r="G402" s="1201"/>
      <c r="H402" s="1209"/>
      <c r="I402" s="1199"/>
      <c r="J402" s="1199"/>
      <c r="K402" s="1199"/>
      <c r="L402" s="1199"/>
      <c r="M402" s="636" t="s">
        <v>123</v>
      </c>
      <c r="N402" s="549"/>
      <c r="O402" s="551">
        <v>0</v>
      </c>
      <c r="P402" s="551">
        <v>0</v>
      </c>
      <c r="Q402" s="552">
        <v>0</v>
      </c>
      <c r="R402" s="48"/>
      <c r="S402" s="48"/>
      <c r="T402" s="48"/>
      <c r="U402" s="48"/>
      <c r="V402" s="48"/>
    </row>
    <row r="403" spans="2:22" ht="25.5" customHeight="1" thickBot="1" x14ac:dyDescent="0.3">
      <c r="B403" s="1204"/>
      <c r="C403" s="1192"/>
      <c r="D403" s="682"/>
      <c r="E403" s="1199"/>
      <c r="F403" s="1201"/>
      <c r="G403" s="1201"/>
      <c r="H403" s="1209"/>
      <c r="I403" s="1199"/>
      <c r="J403" s="1199"/>
      <c r="K403" s="1199"/>
      <c r="L403" s="1199"/>
      <c r="M403" s="672" t="s">
        <v>124</v>
      </c>
      <c r="N403" s="550"/>
      <c r="O403" s="544">
        <v>25813.134999999998</v>
      </c>
      <c r="P403" s="544">
        <v>25813.144</v>
      </c>
      <c r="Q403" s="675">
        <v>25813.134999999998</v>
      </c>
      <c r="R403" s="48"/>
      <c r="S403" s="48"/>
      <c r="T403" s="48"/>
      <c r="U403" s="48"/>
      <c r="V403" s="48"/>
    </row>
    <row r="404" spans="2:22" ht="26.25" customHeight="1" thickBot="1" x14ac:dyDescent="0.3">
      <c r="B404" s="1205"/>
      <c r="C404" s="1216"/>
      <c r="D404" s="674"/>
      <c r="E404" s="1208"/>
      <c r="F404" s="1202"/>
      <c r="G404" s="1202"/>
      <c r="H404" s="1210"/>
      <c r="I404" s="1208"/>
      <c r="J404" s="1208"/>
      <c r="K404" s="1208"/>
      <c r="L404" s="1208"/>
      <c r="M404" s="547" t="s">
        <v>745</v>
      </c>
      <c r="N404" s="549"/>
      <c r="O404" s="551">
        <v>0</v>
      </c>
      <c r="P404" s="551">
        <v>0</v>
      </c>
      <c r="Q404" s="552">
        <v>0</v>
      </c>
      <c r="R404" s="48"/>
      <c r="S404" s="48"/>
      <c r="T404" s="48"/>
      <c r="U404" s="48"/>
      <c r="V404" s="48"/>
    </row>
    <row r="405" spans="2:22" ht="24.75" customHeight="1" thickBot="1" x14ac:dyDescent="0.3">
      <c r="B405" s="1206" t="s">
        <v>172</v>
      </c>
      <c r="C405" s="1215" t="s">
        <v>590</v>
      </c>
      <c r="D405" s="654">
        <v>27300364</v>
      </c>
      <c r="E405" s="1207" t="s">
        <v>192</v>
      </c>
      <c r="F405" s="1200" t="s">
        <v>635</v>
      </c>
      <c r="G405" s="1207" t="s">
        <v>116</v>
      </c>
      <c r="H405" s="1232" t="s">
        <v>116</v>
      </c>
      <c r="I405" s="1207" t="s">
        <v>116</v>
      </c>
      <c r="J405" s="1207" t="s">
        <v>462</v>
      </c>
      <c r="K405" s="1207" t="s">
        <v>116</v>
      </c>
      <c r="L405" s="1207" t="s">
        <v>116</v>
      </c>
      <c r="M405" s="542" t="s">
        <v>122</v>
      </c>
      <c r="N405" s="543"/>
      <c r="O405" s="544">
        <f>O406+O407+O408</f>
        <v>2597.7698</v>
      </c>
      <c r="P405" s="544">
        <f>P406+P407+P408</f>
        <v>2484.1943999999999</v>
      </c>
      <c r="Q405" s="675">
        <f>Q406+Q407+Q408</f>
        <v>2452.5339399999998</v>
      </c>
      <c r="R405" s="48">
        <f>R406+R407</f>
        <v>2597.77</v>
      </c>
      <c r="S405" s="48">
        <f>S406+S407</f>
        <v>2484.19</v>
      </c>
      <c r="T405" s="48">
        <f>T406+T407</f>
        <v>2452.5300000000002</v>
      </c>
      <c r="U405" s="48"/>
      <c r="V405" s="48"/>
    </row>
    <row r="406" spans="2:22" ht="24" customHeight="1" thickBot="1" x14ac:dyDescent="0.3">
      <c r="B406" s="1204"/>
      <c r="C406" s="1192"/>
      <c r="D406" s="555"/>
      <c r="E406" s="1199"/>
      <c r="F406" s="1201"/>
      <c r="G406" s="1199"/>
      <c r="H406" s="1209"/>
      <c r="I406" s="1199"/>
      <c r="J406" s="1199"/>
      <c r="K406" s="1199"/>
      <c r="L406" s="1199"/>
      <c r="M406" s="636" t="s">
        <v>123</v>
      </c>
      <c r="N406" s="549"/>
      <c r="O406" s="544">
        <v>355</v>
      </c>
      <c r="P406" s="544">
        <v>355</v>
      </c>
      <c r="Q406" s="675">
        <v>355</v>
      </c>
      <c r="R406" s="48">
        <v>355</v>
      </c>
      <c r="S406" s="48">
        <v>355</v>
      </c>
      <c r="T406" s="48">
        <v>355</v>
      </c>
      <c r="U406" s="48"/>
      <c r="V406" s="48"/>
    </row>
    <row r="407" spans="2:22" ht="24.75" customHeight="1" thickBot="1" x14ac:dyDescent="0.3">
      <c r="B407" s="1204"/>
      <c r="C407" s="1192"/>
      <c r="D407" s="555"/>
      <c r="E407" s="1199"/>
      <c r="F407" s="1201"/>
      <c r="G407" s="1199"/>
      <c r="H407" s="1209"/>
      <c r="I407" s="1199"/>
      <c r="J407" s="1199"/>
      <c r="K407" s="1199"/>
      <c r="L407" s="1199"/>
      <c r="M407" s="672" t="s">
        <v>124</v>
      </c>
      <c r="N407" s="550"/>
      <c r="O407" s="544">
        <f>2597.7698-O406</f>
        <v>2242.7698</v>
      </c>
      <c r="P407" s="544">
        <f>2484.1944-P406</f>
        <v>2129.1943999999999</v>
      </c>
      <c r="Q407" s="675">
        <f>2452.53394-Q406</f>
        <v>2097.5339399999998</v>
      </c>
      <c r="R407" s="48">
        <v>2242.77</v>
      </c>
      <c r="S407" s="48">
        <v>2129.19</v>
      </c>
      <c r="T407" s="48">
        <v>2097.5300000000002</v>
      </c>
      <c r="U407" s="48"/>
      <c r="V407" s="48"/>
    </row>
    <row r="408" spans="2:22" ht="24" customHeight="1" thickBot="1" x14ac:dyDescent="0.3">
      <c r="B408" s="1205"/>
      <c r="C408" s="1216"/>
      <c r="D408" s="558"/>
      <c r="E408" s="1208"/>
      <c r="F408" s="1202"/>
      <c r="G408" s="1208"/>
      <c r="H408" s="1210"/>
      <c r="I408" s="1208"/>
      <c r="J408" s="1208"/>
      <c r="K408" s="1208"/>
      <c r="L408" s="1208"/>
      <c r="M408" s="547" t="s">
        <v>745</v>
      </c>
      <c r="N408" s="549"/>
      <c r="O408" s="551">
        <v>0</v>
      </c>
      <c r="P408" s="551">
        <v>0</v>
      </c>
      <c r="Q408" s="552">
        <v>0</v>
      </c>
      <c r="R408" s="48"/>
      <c r="S408" s="48"/>
      <c r="T408" s="48"/>
      <c r="U408" s="48"/>
      <c r="V408" s="48"/>
    </row>
    <row r="409" spans="2:22" ht="27.75" customHeight="1" thickBot="1" x14ac:dyDescent="0.3">
      <c r="B409" s="1206" t="s">
        <v>172</v>
      </c>
      <c r="C409" s="1215" t="s">
        <v>593</v>
      </c>
      <c r="D409" s="682" t="s">
        <v>116</v>
      </c>
      <c r="E409" s="1207" t="s">
        <v>116</v>
      </c>
      <c r="F409" s="1200" t="s">
        <v>237</v>
      </c>
      <c r="G409" s="1207" t="s">
        <v>116</v>
      </c>
      <c r="H409" s="1207" t="s">
        <v>116</v>
      </c>
      <c r="I409" s="1207" t="s">
        <v>116</v>
      </c>
      <c r="J409" s="1206" t="s">
        <v>462</v>
      </c>
      <c r="K409" s="1207" t="s">
        <v>116</v>
      </c>
      <c r="L409" s="1207" t="s">
        <v>116</v>
      </c>
      <c r="M409" s="542" t="s">
        <v>122</v>
      </c>
      <c r="N409" s="543"/>
      <c r="O409" s="544">
        <f t="shared" ref="O409:Q412" si="10">O413</f>
        <v>2875.60772</v>
      </c>
      <c r="P409" s="544">
        <f t="shared" si="10"/>
        <v>0</v>
      </c>
      <c r="Q409" s="675">
        <f t="shared" si="10"/>
        <v>0</v>
      </c>
      <c r="R409" s="48"/>
      <c r="S409" s="48"/>
      <c r="T409" s="48"/>
      <c r="U409" s="48"/>
      <c r="V409" s="48"/>
    </row>
    <row r="410" spans="2:22" ht="25.5" customHeight="1" thickBot="1" x14ac:dyDescent="0.3">
      <c r="B410" s="1204"/>
      <c r="C410" s="1192"/>
      <c r="D410" s="682"/>
      <c r="E410" s="1199"/>
      <c r="F410" s="1201"/>
      <c r="G410" s="1199"/>
      <c r="H410" s="1199"/>
      <c r="I410" s="1199"/>
      <c r="J410" s="1204"/>
      <c r="K410" s="1199"/>
      <c r="L410" s="1199"/>
      <c r="M410" s="636" t="s">
        <v>123</v>
      </c>
      <c r="N410" s="549"/>
      <c r="O410" s="544">
        <f t="shared" si="10"/>
        <v>0</v>
      </c>
      <c r="P410" s="544">
        <f t="shared" si="10"/>
        <v>0</v>
      </c>
      <c r="Q410" s="675">
        <f t="shared" si="10"/>
        <v>0</v>
      </c>
      <c r="R410" s="48"/>
      <c r="S410" s="48"/>
      <c r="T410" s="48"/>
      <c r="U410" s="48"/>
      <c r="V410" s="48"/>
    </row>
    <row r="411" spans="2:22" ht="24" customHeight="1" thickBot="1" x14ac:dyDescent="0.3">
      <c r="B411" s="1204"/>
      <c r="C411" s="1192"/>
      <c r="D411" s="682"/>
      <c r="E411" s="1199"/>
      <c r="F411" s="1201"/>
      <c r="G411" s="1199"/>
      <c r="H411" s="1199"/>
      <c r="I411" s="1199"/>
      <c r="J411" s="1204"/>
      <c r="K411" s="1199"/>
      <c r="L411" s="1199"/>
      <c r="M411" s="672" t="s">
        <v>124</v>
      </c>
      <c r="N411" s="550"/>
      <c r="O411" s="544">
        <f t="shared" si="10"/>
        <v>0</v>
      </c>
      <c r="P411" s="544">
        <f t="shared" si="10"/>
        <v>0</v>
      </c>
      <c r="Q411" s="675">
        <f t="shared" si="10"/>
        <v>0</v>
      </c>
      <c r="R411" s="48"/>
      <c r="S411" s="48"/>
      <c r="T411" s="48"/>
      <c r="U411" s="48"/>
      <c r="V411" s="48"/>
    </row>
    <row r="412" spans="2:22" ht="22.5" customHeight="1" thickBot="1" x14ac:dyDescent="0.3">
      <c r="B412" s="1241"/>
      <c r="C412" s="1239"/>
      <c r="D412" s="682"/>
      <c r="E412" s="1237"/>
      <c r="F412" s="1235"/>
      <c r="G412" s="1237"/>
      <c r="H412" s="1237"/>
      <c r="I412" s="1237"/>
      <c r="J412" s="1241"/>
      <c r="K412" s="1208"/>
      <c r="L412" s="1208"/>
      <c r="M412" s="671" t="s">
        <v>745</v>
      </c>
      <c r="N412" s="543"/>
      <c r="O412" s="544">
        <f t="shared" si="10"/>
        <v>2875.60772</v>
      </c>
      <c r="P412" s="544">
        <f t="shared" si="10"/>
        <v>0</v>
      </c>
      <c r="Q412" s="675">
        <f t="shared" si="10"/>
        <v>0</v>
      </c>
      <c r="R412" s="48"/>
      <c r="S412" s="48"/>
      <c r="T412" s="48"/>
      <c r="U412" s="48"/>
      <c r="V412" s="48"/>
    </row>
    <row r="413" spans="2:22" ht="27.75" customHeight="1" thickBot="1" x14ac:dyDescent="0.3">
      <c r="B413" s="1240" t="s">
        <v>172</v>
      </c>
      <c r="C413" s="1238" t="s">
        <v>593</v>
      </c>
      <c r="D413" s="555">
        <v>27302165</v>
      </c>
      <c r="E413" s="1236" t="s">
        <v>422</v>
      </c>
      <c r="F413" s="1234" t="s">
        <v>626</v>
      </c>
      <c r="G413" s="1234" t="s">
        <v>435</v>
      </c>
      <c r="H413" s="1236" t="s">
        <v>240</v>
      </c>
      <c r="I413" s="1236">
        <v>1</v>
      </c>
      <c r="J413" s="1206" t="s">
        <v>462</v>
      </c>
      <c r="K413" s="1236" t="s">
        <v>199</v>
      </c>
      <c r="L413" s="1236" t="s">
        <v>199</v>
      </c>
      <c r="M413" s="542" t="s">
        <v>122</v>
      </c>
      <c r="N413" s="543"/>
      <c r="O413" s="544">
        <f>O414+O415+O416</f>
        <v>2875.60772</v>
      </c>
      <c r="P413" s="544">
        <f>P414+P415+P416</f>
        <v>0</v>
      </c>
      <c r="Q413" s="675">
        <f>Q414+Q415+Q416</f>
        <v>0</v>
      </c>
      <c r="R413" s="48"/>
      <c r="S413" s="48"/>
      <c r="T413" s="48"/>
      <c r="U413" s="48"/>
      <c r="V413" s="48"/>
    </row>
    <row r="414" spans="2:22" ht="16.5" thickBot="1" x14ac:dyDescent="0.3">
      <c r="B414" s="1204"/>
      <c r="C414" s="1192"/>
      <c r="D414" s="555"/>
      <c r="E414" s="1199"/>
      <c r="F414" s="1201"/>
      <c r="G414" s="1201"/>
      <c r="H414" s="1199"/>
      <c r="I414" s="1199"/>
      <c r="J414" s="1204"/>
      <c r="K414" s="1199"/>
      <c r="L414" s="1199"/>
      <c r="M414" s="636" t="s">
        <v>123</v>
      </c>
      <c r="N414" s="549"/>
      <c r="O414" s="544">
        <v>0</v>
      </c>
      <c r="P414" s="544">
        <v>0</v>
      </c>
      <c r="Q414" s="675">
        <v>0</v>
      </c>
      <c r="R414" s="48"/>
      <c r="S414" s="48"/>
      <c r="T414" s="48"/>
      <c r="U414" s="48"/>
      <c r="V414" s="48"/>
    </row>
    <row r="415" spans="2:22" ht="16.5" thickBot="1" x14ac:dyDescent="0.3">
      <c r="B415" s="1204"/>
      <c r="C415" s="1192"/>
      <c r="D415" s="555"/>
      <c r="E415" s="1199"/>
      <c r="F415" s="1201"/>
      <c r="G415" s="1201"/>
      <c r="H415" s="1199"/>
      <c r="I415" s="1199"/>
      <c r="J415" s="1204"/>
      <c r="K415" s="1199"/>
      <c r="L415" s="1199"/>
      <c r="M415" s="672" t="s">
        <v>124</v>
      </c>
      <c r="N415" s="550"/>
      <c r="O415" s="544">
        <v>0</v>
      </c>
      <c r="P415" s="544">
        <v>0</v>
      </c>
      <c r="Q415" s="675">
        <v>0</v>
      </c>
      <c r="R415" s="48"/>
      <c r="S415" s="48"/>
      <c r="T415" s="48"/>
      <c r="U415" s="48"/>
      <c r="V415" s="48"/>
    </row>
    <row r="416" spans="2:22" ht="16.5" thickBot="1" x14ac:dyDescent="0.3">
      <c r="B416" s="1241"/>
      <c r="C416" s="1239"/>
      <c r="D416" s="555"/>
      <c r="E416" s="1237"/>
      <c r="F416" s="1235"/>
      <c r="G416" s="1235"/>
      <c r="H416" s="1237"/>
      <c r="I416" s="1237"/>
      <c r="J416" s="1241"/>
      <c r="K416" s="1237"/>
      <c r="L416" s="1237"/>
      <c r="M416" s="547" t="s">
        <v>745</v>
      </c>
      <c r="N416" s="549"/>
      <c r="O416" s="551">
        <v>2875.60772</v>
      </c>
      <c r="P416" s="551">
        <v>0</v>
      </c>
      <c r="Q416" s="552">
        <v>0</v>
      </c>
      <c r="R416" s="48"/>
      <c r="S416" s="48"/>
      <c r="T416" s="48"/>
      <c r="U416" s="48"/>
      <c r="V416" s="48"/>
    </row>
    <row r="417" spans="2:22" ht="21.75" customHeight="1" thickBot="1" x14ac:dyDescent="0.3">
      <c r="B417" s="1240" t="s">
        <v>172</v>
      </c>
      <c r="C417" s="1238" t="s">
        <v>592</v>
      </c>
      <c r="D417" s="609" t="s">
        <v>116</v>
      </c>
      <c r="E417" s="1236" t="s">
        <v>116</v>
      </c>
      <c r="F417" s="1234" t="s">
        <v>591</v>
      </c>
      <c r="G417" s="1234" t="s">
        <v>465</v>
      </c>
      <c r="H417" s="1236" t="s">
        <v>240</v>
      </c>
      <c r="I417" s="1236">
        <v>1</v>
      </c>
      <c r="J417" s="1240" t="s">
        <v>528</v>
      </c>
      <c r="K417" s="1236" t="s">
        <v>199</v>
      </c>
      <c r="L417" s="1236">
        <v>1</v>
      </c>
      <c r="M417" s="542" t="s">
        <v>122</v>
      </c>
      <c r="N417" s="543"/>
      <c r="O417" s="544">
        <f t="shared" ref="O417:Q420" si="11">O421</f>
        <v>2768.3199599999998</v>
      </c>
      <c r="P417" s="544">
        <f t="shared" si="11"/>
        <v>2609.4</v>
      </c>
      <c r="Q417" s="675">
        <f t="shared" si="11"/>
        <v>0</v>
      </c>
      <c r="R417" s="48"/>
      <c r="S417" s="48"/>
      <c r="T417" s="48"/>
      <c r="U417" s="48"/>
      <c r="V417" s="48"/>
    </row>
    <row r="418" spans="2:22" ht="22.5" customHeight="1" thickBot="1" x14ac:dyDescent="0.3">
      <c r="B418" s="1204"/>
      <c r="C418" s="1192"/>
      <c r="D418" s="555"/>
      <c r="E418" s="1199"/>
      <c r="F418" s="1201"/>
      <c r="G418" s="1201"/>
      <c r="H418" s="1199"/>
      <c r="I418" s="1199"/>
      <c r="J418" s="1204"/>
      <c r="K418" s="1199"/>
      <c r="L418" s="1199"/>
      <c r="M418" s="636" t="s">
        <v>123</v>
      </c>
      <c r="N418" s="549"/>
      <c r="O418" s="544">
        <f t="shared" si="11"/>
        <v>0</v>
      </c>
      <c r="P418" s="544">
        <f t="shared" si="11"/>
        <v>0</v>
      </c>
      <c r="Q418" s="675">
        <f t="shared" si="11"/>
        <v>0</v>
      </c>
      <c r="R418" s="48"/>
      <c r="S418" s="48"/>
      <c r="T418" s="48"/>
      <c r="U418" s="48"/>
      <c r="V418" s="48"/>
    </row>
    <row r="419" spans="2:22" ht="23.25" customHeight="1" thickBot="1" x14ac:dyDescent="0.3">
      <c r="B419" s="1204"/>
      <c r="C419" s="1192"/>
      <c r="D419" s="555"/>
      <c r="E419" s="1199"/>
      <c r="F419" s="1201"/>
      <c r="G419" s="1201"/>
      <c r="H419" s="1199"/>
      <c r="I419" s="1199"/>
      <c r="J419" s="1204"/>
      <c r="K419" s="1199"/>
      <c r="L419" s="1199"/>
      <c r="M419" s="672" t="s">
        <v>124</v>
      </c>
      <c r="N419" s="550"/>
      <c r="O419" s="544">
        <f t="shared" si="11"/>
        <v>2768.3199599999998</v>
      </c>
      <c r="P419" s="544">
        <f t="shared" si="11"/>
        <v>2609.4</v>
      </c>
      <c r="Q419" s="675">
        <f t="shared" si="11"/>
        <v>0</v>
      </c>
      <c r="R419" s="48"/>
      <c r="S419" s="48"/>
      <c r="T419" s="48"/>
      <c r="U419" s="48"/>
      <c r="V419" s="48"/>
    </row>
    <row r="420" spans="2:22" ht="22.5" customHeight="1" thickBot="1" x14ac:dyDescent="0.3">
      <c r="B420" s="1204"/>
      <c r="C420" s="1192"/>
      <c r="D420" s="680"/>
      <c r="E420" s="1199"/>
      <c r="F420" s="1201"/>
      <c r="G420" s="1201"/>
      <c r="H420" s="1199"/>
      <c r="I420" s="1199"/>
      <c r="J420" s="1204"/>
      <c r="K420" s="1199"/>
      <c r="L420" s="1199"/>
      <c r="M420" s="671" t="s">
        <v>745</v>
      </c>
      <c r="N420" s="543"/>
      <c r="O420" s="544">
        <f t="shared" si="11"/>
        <v>0</v>
      </c>
      <c r="P420" s="544">
        <f t="shared" si="11"/>
        <v>0</v>
      </c>
      <c r="Q420" s="675">
        <f t="shared" si="11"/>
        <v>0</v>
      </c>
      <c r="R420" s="48"/>
      <c r="S420" s="48"/>
      <c r="T420" s="48"/>
      <c r="U420" s="48"/>
      <c r="V420" s="48"/>
    </row>
    <row r="421" spans="2:22" ht="36" customHeight="1" thickBot="1" x14ac:dyDescent="0.3">
      <c r="B421" s="1206" t="s">
        <v>172</v>
      </c>
      <c r="C421" s="1215" t="s">
        <v>592</v>
      </c>
      <c r="D421" s="654">
        <v>27302142</v>
      </c>
      <c r="E421" s="1207" t="s">
        <v>88</v>
      </c>
      <c r="F421" s="1200" t="s">
        <v>467</v>
      </c>
      <c r="G421" s="1200" t="s">
        <v>465</v>
      </c>
      <c r="H421" s="1207" t="s">
        <v>240</v>
      </c>
      <c r="I421" s="1207">
        <v>1</v>
      </c>
      <c r="J421" s="1206" t="s">
        <v>865</v>
      </c>
      <c r="K421" s="1207" t="s">
        <v>199</v>
      </c>
      <c r="L421" s="1207">
        <v>1</v>
      </c>
      <c r="M421" s="542" t="s">
        <v>122</v>
      </c>
      <c r="N421" s="543"/>
      <c r="O421" s="544">
        <f>O422+O423+O424</f>
        <v>2768.3199599999998</v>
      </c>
      <c r="P421" s="544">
        <f>P422+P423+P424</f>
        <v>2609.4</v>
      </c>
      <c r="Q421" s="675">
        <f>Q422+Q423+Q424</f>
        <v>0</v>
      </c>
      <c r="R421" s="48"/>
      <c r="S421" s="48"/>
      <c r="T421" s="48"/>
      <c r="U421" s="48"/>
      <c r="V421" s="48"/>
    </row>
    <row r="422" spans="2:22" ht="16.5" thickBot="1" x14ac:dyDescent="0.3">
      <c r="B422" s="1204"/>
      <c r="C422" s="1192"/>
      <c r="D422" s="555"/>
      <c r="E422" s="1199"/>
      <c r="F422" s="1201"/>
      <c r="G422" s="1201"/>
      <c r="H422" s="1199"/>
      <c r="I422" s="1199"/>
      <c r="J422" s="1204"/>
      <c r="K422" s="1199"/>
      <c r="L422" s="1199"/>
      <c r="M422" s="636" t="s">
        <v>123</v>
      </c>
      <c r="N422" s="549"/>
      <c r="O422" s="544">
        <v>0</v>
      </c>
      <c r="P422" s="544">
        <v>0</v>
      </c>
      <c r="Q422" s="675">
        <v>0</v>
      </c>
      <c r="R422" s="48"/>
      <c r="S422" s="48"/>
      <c r="T422" s="48"/>
      <c r="U422" s="48"/>
      <c r="V422" s="48"/>
    </row>
    <row r="423" spans="2:22" ht="16.5" thickBot="1" x14ac:dyDescent="0.3">
      <c r="B423" s="1204"/>
      <c r="C423" s="1192"/>
      <c r="D423" s="555"/>
      <c r="E423" s="1199"/>
      <c r="F423" s="1201"/>
      <c r="G423" s="1201"/>
      <c r="H423" s="1199"/>
      <c r="I423" s="1199"/>
      <c r="J423" s="1204"/>
      <c r="K423" s="1199"/>
      <c r="L423" s="1199"/>
      <c r="M423" s="672" t="s">
        <v>124</v>
      </c>
      <c r="N423" s="550"/>
      <c r="O423" s="544">
        <v>2768.3199599999998</v>
      </c>
      <c r="P423" s="544">
        <v>2609.4</v>
      </c>
      <c r="Q423" s="675">
        <v>0</v>
      </c>
      <c r="R423" s="48"/>
      <c r="S423" s="48"/>
      <c r="T423" s="48"/>
      <c r="U423" s="48"/>
      <c r="V423" s="48"/>
    </row>
    <row r="424" spans="2:22" ht="16.5" thickBot="1" x14ac:dyDescent="0.3">
      <c r="B424" s="1205"/>
      <c r="C424" s="1216"/>
      <c r="D424" s="558"/>
      <c r="E424" s="1208"/>
      <c r="F424" s="1202"/>
      <c r="G424" s="1202"/>
      <c r="H424" s="1208"/>
      <c r="I424" s="1208"/>
      <c r="J424" s="1205"/>
      <c r="K424" s="1208"/>
      <c r="L424" s="1208"/>
      <c r="M424" s="547" t="s">
        <v>745</v>
      </c>
      <c r="N424" s="549"/>
      <c r="O424" s="551">
        <v>0</v>
      </c>
      <c r="P424" s="551">
        <v>0</v>
      </c>
      <c r="Q424" s="552">
        <v>0</v>
      </c>
      <c r="R424" s="48"/>
      <c r="S424" s="48"/>
      <c r="T424" s="48"/>
      <c r="U424" s="48"/>
      <c r="V424" s="48"/>
    </row>
    <row r="425" spans="2:22" ht="27" customHeight="1" thickBot="1" x14ac:dyDescent="0.3">
      <c r="B425" s="1206" t="s">
        <v>172</v>
      </c>
      <c r="C425" s="1207" t="s">
        <v>291</v>
      </c>
      <c r="D425" s="654" t="s">
        <v>116</v>
      </c>
      <c r="E425" s="1207" t="s">
        <v>116</v>
      </c>
      <c r="F425" s="1200" t="s">
        <v>77</v>
      </c>
      <c r="G425" s="1207" t="s">
        <v>116</v>
      </c>
      <c r="H425" s="1207" t="s">
        <v>116</v>
      </c>
      <c r="I425" s="1207" t="s">
        <v>116</v>
      </c>
      <c r="J425" s="1206" t="s">
        <v>462</v>
      </c>
      <c r="K425" s="1207" t="s">
        <v>116</v>
      </c>
      <c r="L425" s="1207" t="s">
        <v>116</v>
      </c>
      <c r="M425" s="542" t="s">
        <v>122</v>
      </c>
      <c r="N425" s="543"/>
      <c r="O425" s="544">
        <f t="shared" ref="O425:Q428" si="12">O429+O433+O437+O441+O445+O449+O453+O457+O461+O465+O469+O473+O477+O481+O485+O489+O493+O497+O501+O505+O509</f>
        <v>15268.359</v>
      </c>
      <c r="P425" s="544">
        <f t="shared" si="12"/>
        <v>10212</v>
      </c>
      <c r="Q425" s="675">
        <f t="shared" si="12"/>
        <v>3450</v>
      </c>
      <c r="R425" s="48"/>
      <c r="S425" s="48"/>
      <c r="T425" s="48"/>
      <c r="U425" s="48"/>
      <c r="V425" s="48"/>
    </row>
    <row r="426" spans="2:22" ht="19.5" customHeight="1" thickBot="1" x14ac:dyDescent="0.3">
      <c r="B426" s="1204"/>
      <c r="C426" s="1199"/>
      <c r="D426" s="555"/>
      <c r="E426" s="1199"/>
      <c r="F426" s="1201"/>
      <c r="G426" s="1199"/>
      <c r="H426" s="1199"/>
      <c r="I426" s="1199"/>
      <c r="J426" s="1204"/>
      <c r="K426" s="1199"/>
      <c r="L426" s="1199"/>
      <c r="M426" s="636" t="s">
        <v>123</v>
      </c>
      <c r="N426" s="549"/>
      <c r="O426" s="544">
        <f t="shared" si="12"/>
        <v>0</v>
      </c>
      <c r="P426" s="544">
        <f t="shared" si="12"/>
        <v>0</v>
      </c>
      <c r="Q426" s="675">
        <f t="shared" si="12"/>
        <v>0</v>
      </c>
      <c r="R426" s="48"/>
      <c r="S426" s="48"/>
      <c r="T426" s="48"/>
      <c r="U426" s="48"/>
      <c r="V426" s="48"/>
    </row>
    <row r="427" spans="2:22" ht="19.5" customHeight="1" thickBot="1" x14ac:dyDescent="0.3">
      <c r="B427" s="1204"/>
      <c r="C427" s="1199"/>
      <c r="D427" s="555"/>
      <c r="E427" s="1199"/>
      <c r="F427" s="1201"/>
      <c r="G427" s="1199"/>
      <c r="H427" s="1199"/>
      <c r="I427" s="1199"/>
      <c r="J427" s="1204"/>
      <c r="K427" s="1199"/>
      <c r="L427" s="1199"/>
      <c r="M427" s="672" t="s">
        <v>124</v>
      </c>
      <c r="N427" s="550"/>
      <c r="O427" s="544">
        <f t="shared" si="12"/>
        <v>15268.359</v>
      </c>
      <c r="P427" s="544">
        <f t="shared" si="12"/>
        <v>10212</v>
      </c>
      <c r="Q427" s="675">
        <f t="shared" si="12"/>
        <v>3450</v>
      </c>
      <c r="R427" s="48"/>
      <c r="S427" s="48"/>
      <c r="T427" s="48"/>
      <c r="U427" s="48"/>
      <c r="V427" s="48"/>
    </row>
    <row r="428" spans="2:22" ht="18" customHeight="1" thickBot="1" x14ac:dyDescent="0.3">
      <c r="B428" s="1205"/>
      <c r="C428" s="1208"/>
      <c r="D428" s="558"/>
      <c r="E428" s="1208"/>
      <c r="F428" s="1202"/>
      <c r="G428" s="1208"/>
      <c r="H428" s="1208"/>
      <c r="I428" s="1208"/>
      <c r="J428" s="1205"/>
      <c r="K428" s="1208"/>
      <c r="L428" s="1208"/>
      <c r="M428" s="547" t="s">
        <v>745</v>
      </c>
      <c r="N428" s="549"/>
      <c r="O428" s="551">
        <f t="shared" si="12"/>
        <v>4149.0946299999996</v>
      </c>
      <c r="P428" s="551">
        <f t="shared" si="12"/>
        <v>0</v>
      </c>
      <c r="Q428" s="552">
        <f t="shared" si="12"/>
        <v>0</v>
      </c>
      <c r="R428" s="48"/>
      <c r="S428" s="48"/>
      <c r="T428" s="48"/>
      <c r="U428" s="48"/>
      <c r="V428" s="48"/>
    </row>
    <row r="429" spans="2:22" ht="24" customHeight="1" thickBot="1" x14ac:dyDescent="0.3">
      <c r="B429" s="1204" t="s">
        <v>172</v>
      </c>
      <c r="C429" s="1192" t="s">
        <v>291</v>
      </c>
      <c r="D429" s="682" t="s">
        <v>450</v>
      </c>
      <c r="E429" s="1199" t="s">
        <v>449</v>
      </c>
      <c r="F429" s="1201" t="s">
        <v>643</v>
      </c>
      <c r="G429" s="1201" t="s">
        <v>642</v>
      </c>
      <c r="H429" s="1199" t="s">
        <v>240</v>
      </c>
      <c r="I429" s="1199">
        <v>1</v>
      </c>
      <c r="J429" s="1204" t="s">
        <v>462</v>
      </c>
      <c r="K429" s="1199" t="s">
        <v>199</v>
      </c>
      <c r="L429" s="1199" t="s">
        <v>199</v>
      </c>
      <c r="M429" s="672" t="s">
        <v>122</v>
      </c>
      <c r="N429" s="550"/>
      <c r="O429" s="561">
        <f>O430+O431</f>
        <v>0</v>
      </c>
      <c r="P429" s="561">
        <f>P430+P431</f>
        <v>0</v>
      </c>
      <c r="Q429" s="562">
        <f>Q430+Q431</f>
        <v>0</v>
      </c>
      <c r="R429" s="48"/>
      <c r="S429" s="48"/>
      <c r="T429" s="48"/>
      <c r="U429" s="48"/>
      <c r="V429" s="48"/>
    </row>
    <row r="430" spans="2:22" ht="20.25" customHeight="1" thickBot="1" x14ac:dyDescent="0.3">
      <c r="B430" s="1204"/>
      <c r="C430" s="1192"/>
      <c r="D430" s="555"/>
      <c r="E430" s="1199"/>
      <c r="F430" s="1201"/>
      <c r="G430" s="1201"/>
      <c r="H430" s="1199"/>
      <c r="I430" s="1199"/>
      <c r="J430" s="1204"/>
      <c r="K430" s="1199"/>
      <c r="L430" s="1199"/>
      <c r="M430" s="636" t="s">
        <v>123</v>
      </c>
      <c r="N430" s="549"/>
      <c r="O430" s="544">
        <v>0</v>
      </c>
      <c r="P430" s="544">
        <v>0</v>
      </c>
      <c r="Q430" s="675">
        <v>0</v>
      </c>
      <c r="R430" s="48"/>
      <c r="S430" s="48"/>
      <c r="T430" s="48"/>
      <c r="U430" s="48"/>
      <c r="V430" s="48"/>
    </row>
    <row r="431" spans="2:22" ht="24" customHeight="1" thickBot="1" x14ac:dyDescent="0.3">
      <c r="B431" s="1204"/>
      <c r="C431" s="1192"/>
      <c r="D431" s="555"/>
      <c r="E431" s="1199"/>
      <c r="F431" s="1201"/>
      <c r="G431" s="1201"/>
      <c r="H431" s="1199"/>
      <c r="I431" s="1199"/>
      <c r="J431" s="1204"/>
      <c r="K431" s="1199"/>
      <c r="L431" s="1199"/>
      <c r="M431" s="672" t="s">
        <v>124</v>
      </c>
      <c r="N431" s="550"/>
      <c r="O431" s="544">
        <v>0</v>
      </c>
      <c r="P431" s="544">
        <v>0</v>
      </c>
      <c r="Q431" s="675">
        <v>0</v>
      </c>
      <c r="R431" s="48"/>
      <c r="S431" s="48"/>
      <c r="T431" s="48"/>
      <c r="U431" s="48"/>
      <c r="V431" s="48"/>
    </row>
    <row r="432" spans="2:22" ht="18" customHeight="1" thickBot="1" x14ac:dyDescent="0.3">
      <c r="B432" s="1204"/>
      <c r="C432" s="1192"/>
      <c r="D432" s="680"/>
      <c r="E432" s="1199"/>
      <c r="F432" s="1201"/>
      <c r="G432" s="1201"/>
      <c r="H432" s="1199"/>
      <c r="I432" s="1199"/>
      <c r="J432" s="1204"/>
      <c r="K432" s="1199"/>
      <c r="L432" s="1199"/>
      <c r="M432" s="671" t="s">
        <v>745</v>
      </c>
      <c r="N432" s="543"/>
      <c r="O432" s="544">
        <v>34.468000000000004</v>
      </c>
      <c r="P432" s="544">
        <v>0</v>
      </c>
      <c r="Q432" s="675">
        <v>0</v>
      </c>
      <c r="R432" s="48"/>
      <c r="S432" s="48"/>
      <c r="T432" s="48"/>
      <c r="U432" s="48"/>
      <c r="V432" s="48"/>
    </row>
    <row r="433" spans="2:22" ht="24" customHeight="1" thickBot="1" x14ac:dyDescent="0.3">
      <c r="B433" s="1206" t="s">
        <v>172</v>
      </c>
      <c r="C433" s="1215" t="s">
        <v>291</v>
      </c>
      <c r="D433" s="654">
        <v>27302143</v>
      </c>
      <c r="E433" s="1207" t="s">
        <v>405</v>
      </c>
      <c r="F433" s="1200" t="s">
        <v>827</v>
      </c>
      <c r="G433" s="1200" t="s">
        <v>826</v>
      </c>
      <c r="H433" s="1207" t="s">
        <v>240</v>
      </c>
      <c r="I433" s="1207">
        <v>1</v>
      </c>
      <c r="J433" s="1206" t="s">
        <v>462</v>
      </c>
      <c r="K433" s="1207" t="s">
        <v>199</v>
      </c>
      <c r="L433" s="1207" t="s">
        <v>199</v>
      </c>
      <c r="M433" s="542" t="s">
        <v>122</v>
      </c>
      <c r="N433" s="543"/>
      <c r="O433" s="544">
        <f>O434+O435+O436</f>
        <v>400</v>
      </c>
      <c r="P433" s="544">
        <f>P434+P435+P436</f>
        <v>0</v>
      </c>
      <c r="Q433" s="675">
        <f>Q434+Q435+Q436</f>
        <v>0</v>
      </c>
      <c r="R433" s="48"/>
      <c r="S433" s="48"/>
      <c r="T433" s="48"/>
      <c r="U433" s="48"/>
      <c r="V433" s="48"/>
    </row>
    <row r="434" spans="2:22" ht="21" customHeight="1" thickBot="1" x14ac:dyDescent="0.3">
      <c r="B434" s="1204"/>
      <c r="C434" s="1192"/>
      <c r="D434" s="555"/>
      <c r="E434" s="1199"/>
      <c r="F434" s="1201"/>
      <c r="G434" s="1201"/>
      <c r="H434" s="1199"/>
      <c r="I434" s="1199"/>
      <c r="J434" s="1204"/>
      <c r="K434" s="1199"/>
      <c r="L434" s="1199"/>
      <c r="M434" s="636" t="s">
        <v>123</v>
      </c>
      <c r="N434" s="549"/>
      <c r="O434" s="544">
        <v>0</v>
      </c>
      <c r="P434" s="544">
        <v>0</v>
      </c>
      <c r="Q434" s="675">
        <v>0</v>
      </c>
      <c r="R434" s="48"/>
      <c r="S434" s="48"/>
      <c r="T434" s="48"/>
      <c r="U434" s="48"/>
      <c r="V434" s="48"/>
    </row>
    <row r="435" spans="2:22" ht="21" customHeight="1" thickBot="1" x14ac:dyDescent="0.3">
      <c r="B435" s="1204"/>
      <c r="C435" s="1192"/>
      <c r="D435" s="555"/>
      <c r="E435" s="1199"/>
      <c r="F435" s="1201"/>
      <c r="G435" s="1201"/>
      <c r="H435" s="1199"/>
      <c r="I435" s="1199"/>
      <c r="J435" s="1204"/>
      <c r="K435" s="1199"/>
      <c r="L435" s="1199"/>
      <c r="M435" s="672" t="s">
        <v>124</v>
      </c>
      <c r="N435" s="550"/>
      <c r="O435" s="544">
        <f>600-200</f>
        <v>400</v>
      </c>
      <c r="P435" s="544">
        <v>0</v>
      </c>
      <c r="Q435" s="675">
        <v>0</v>
      </c>
      <c r="R435" s="48"/>
      <c r="S435" s="48"/>
      <c r="T435" s="48"/>
      <c r="U435" s="48"/>
      <c r="V435" s="48"/>
    </row>
    <row r="436" spans="2:22" ht="23.25" customHeight="1" thickBot="1" x14ac:dyDescent="0.3">
      <c r="B436" s="1205"/>
      <c r="C436" s="1216"/>
      <c r="D436" s="558"/>
      <c r="E436" s="1208"/>
      <c r="F436" s="1202"/>
      <c r="G436" s="1202"/>
      <c r="H436" s="1208"/>
      <c r="I436" s="1208"/>
      <c r="J436" s="1205"/>
      <c r="K436" s="1208"/>
      <c r="L436" s="1208"/>
      <c r="M436" s="547" t="s">
        <v>745</v>
      </c>
      <c r="N436" s="549"/>
      <c r="O436" s="551">
        <v>0</v>
      </c>
      <c r="P436" s="551">
        <v>0</v>
      </c>
      <c r="Q436" s="552">
        <v>0</v>
      </c>
      <c r="R436" s="48"/>
      <c r="S436" s="48"/>
      <c r="T436" s="48"/>
      <c r="U436" s="48"/>
      <c r="V436" s="48"/>
    </row>
    <row r="437" spans="2:22" ht="26.25" customHeight="1" thickBot="1" x14ac:dyDescent="0.3">
      <c r="B437" s="1204" t="s">
        <v>172</v>
      </c>
      <c r="C437" s="1192" t="s">
        <v>291</v>
      </c>
      <c r="D437" s="682" t="s">
        <v>533</v>
      </c>
      <c r="E437" s="1199" t="s">
        <v>411</v>
      </c>
      <c r="F437" s="1201" t="s">
        <v>413</v>
      </c>
      <c r="G437" s="1201" t="s">
        <v>414</v>
      </c>
      <c r="H437" s="1199" t="s">
        <v>240</v>
      </c>
      <c r="I437" s="1199">
        <v>1</v>
      </c>
      <c r="J437" s="1204" t="s">
        <v>462</v>
      </c>
      <c r="K437" s="1199" t="s">
        <v>199</v>
      </c>
      <c r="L437" s="1199" t="s">
        <v>199</v>
      </c>
      <c r="M437" s="672" t="s">
        <v>122</v>
      </c>
      <c r="N437" s="550"/>
      <c r="O437" s="561">
        <f>O438+O439</f>
        <v>0</v>
      </c>
      <c r="P437" s="561">
        <f>P438+P439</f>
        <v>0</v>
      </c>
      <c r="Q437" s="562">
        <f>Q438+Q439</f>
        <v>0</v>
      </c>
      <c r="R437" s="48"/>
      <c r="S437" s="48"/>
      <c r="T437" s="48"/>
      <c r="U437" s="48"/>
      <c r="V437" s="48"/>
    </row>
    <row r="438" spans="2:22" ht="24" customHeight="1" thickBot="1" x14ac:dyDescent="0.3">
      <c r="B438" s="1204"/>
      <c r="C438" s="1192"/>
      <c r="D438" s="555"/>
      <c r="E438" s="1199"/>
      <c r="F438" s="1201"/>
      <c r="G438" s="1201"/>
      <c r="H438" s="1199"/>
      <c r="I438" s="1199"/>
      <c r="J438" s="1204"/>
      <c r="K438" s="1199"/>
      <c r="L438" s="1199"/>
      <c r="M438" s="636" t="s">
        <v>123</v>
      </c>
      <c r="N438" s="549"/>
      <c r="O438" s="551">
        <v>0</v>
      </c>
      <c r="P438" s="551">
        <v>0</v>
      </c>
      <c r="Q438" s="552">
        <v>0</v>
      </c>
      <c r="R438" s="48"/>
      <c r="S438" s="48"/>
      <c r="T438" s="48"/>
      <c r="U438" s="48"/>
      <c r="V438" s="48"/>
    </row>
    <row r="439" spans="2:22" ht="24.75" customHeight="1" thickBot="1" x14ac:dyDescent="0.3">
      <c r="B439" s="1204"/>
      <c r="C439" s="1192"/>
      <c r="D439" s="555"/>
      <c r="E439" s="1199"/>
      <c r="F439" s="1201"/>
      <c r="G439" s="1201"/>
      <c r="H439" s="1199"/>
      <c r="I439" s="1199"/>
      <c r="J439" s="1204"/>
      <c r="K439" s="1199"/>
      <c r="L439" s="1199"/>
      <c r="M439" s="672" t="s">
        <v>124</v>
      </c>
      <c r="N439" s="550"/>
      <c r="O439" s="544">
        <v>0</v>
      </c>
      <c r="P439" s="544">
        <v>0</v>
      </c>
      <c r="Q439" s="675">
        <v>0</v>
      </c>
      <c r="R439" s="48"/>
      <c r="S439" s="48"/>
      <c r="T439" s="48"/>
      <c r="U439" s="48"/>
      <c r="V439" s="48"/>
    </row>
    <row r="440" spans="2:22" ht="23.25" customHeight="1" thickBot="1" x14ac:dyDescent="0.3">
      <c r="B440" s="1204"/>
      <c r="C440" s="1192"/>
      <c r="D440" s="680"/>
      <c r="E440" s="1199"/>
      <c r="F440" s="1201"/>
      <c r="G440" s="1201"/>
      <c r="H440" s="1199"/>
      <c r="I440" s="1199"/>
      <c r="J440" s="1204"/>
      <c r="K440" s="1199"/>
      <c r="L440" s="1199"/>
      <c r="M440" s="671" t="s">
        <v>745</v>
      </c>
      <c r="N440" s="543"/>
      <c r="O440" s="544">
        <v>1533.58563</v>
      </c>
      <c r="P440" s="544">
        <v>0</v>
      </c>
      <c r="Q440" s="675">
        <v>0</v>
      </c>
      <c r="R440" s="48"/>
      <c r="S440" s="48"/>
      <c r="T440" s="48"/>
      <c r="U440" s="48"/>
      <c r="V440" s="48"/>
    </row>
    <row r="441" spans="2:22" ht="23.25" customHeight="1" thickBot="1" x14ac:dyDescent="0.3">
      <c r="B441" s="1206" t="s">
        <v>172</v>
      </c>
      <c r="C441" s="1215" t="s">
        <v>291</v>
      </c>
      <c r="D441" s="654" t="s">
        <v>533</v>
      </c>
      <c r="E441" s="1207" t="s">
        <v>411</v>
      </c>
      <c r="F441" s="1200" t="s">
        <v>828</v>
      </c>
      <c r="G441" s="1200" t="s">
        <v>388</v>
      </c>
      <c r="H441" s="1207" t="s">
        <v>240</v>
      </c>
      <c r="I441" s="1207">
        <v>1</v>
      </c>
      <c r="J441" s="1206" t="s">
        <v>462</v>
      </c>
      <c r="K441" s="1207" t="s">
        <v>199</v>
      </c>
      <c r="L441" s="1207" t="s">
        <v>199</v>
      </c>
      <c r="M441" s="542" t="s">
        <v>122</v>
      </c>
      <c r="N441" s="543"/>
      <c r="O441" s="544">
        <f>O442+O443</f>
        <v>0</v>
      </c>
      <c r="P441" s="544">
        <f>P442+P443</f>
        <v>0</v>
      </c>
      <c r="Q441" s="675">
        <f>Q442+Q443</f>
        <v>0</v>
      </c>
      <c r="R441" s="48"/>
      <c r="S441" s="48"/>
      <c r="T441" s="48"/>
      <c r="U441" s="48"/>
      <c r="V441" s="48"/>
    </row>
    <row r="442" spans="2:22" ht="23.25" customHeight="1" thickBot="1" x14ac:dyDescent="0.3">
      <c r="B442" s="1204"/>
      <c r="C442" s="1192"/>
      <c r="D442" s="555"/>
      <c r="E442" s="1199"/>
      <c r="F442" s="1201"/>
      <c r="G442" s="1201"/>
      <c r="H442" s="1199"/>
      <c r="I442" s="1199"/>
      <c r="J442" s="1204"/>
      <c r="K442" s="1199"/>
      <c r="L442" s="1199"/>
      <c r="M442" s="636" t="s">
        <v>123</v>
      </c>
      <c r="N442" s="549"/>
      <c r="O442" s="551">
        <v>0</v>
      </c>
      <c r="P442" s="551">
        <v>0</v>
      </c>
      <c r="Q442" s="552">
        <v>0</v>
      </c>
      <c r="R442" s="48"/>
      <c r="S442" s="48"/>
      <c r="T442" s="48"/>
      <c r="U442" s="48"/>
      <c r="V442" s="48"/>
    </row>
    <row r="443" spans="2:22" ht="23.25" customHeight="1" thickBot="1" x14ac:dyDescent="0.3">
      <c r="B443" s="1204"/>
      <c r="C443" s="1192"/>
      <c r="D443" s="555"/>
      <c r="E443" s="1199"/>
      <c r="F443" s="1201"/>
      <c r="G443" s="1201"/>
      <c r="H443" s="1199"/>
      <c r="I443" s="1199"/>
      <c r="J443" s="1204"/>
      <c r="K443" s="1199"/>
      <c r="L443" s="1199"/>
      <c r="M443" s="672" t="s">
        <v>124</v>
      </c>
      <c r="N443" s="550"/>
      <c r="O443" s="544">
        <v>0</v>
      </c>
      <c r="P443" s="544">
        <v>0</v>
      </c>
      <c r="Q443" s="675">
        <v>0</v>
      </c>
      <c r="R443" s="48"/>
      <c r="S443" s="48"/>
      <c r="T443" s="48"/>
      <c r="U443" s="48"/>
      <c r="V443" s="48"/>
    </row>
    <row r="444" spans="2:22" ht="23.25" customHeight="1" thickBot="1" x14ac:dyDescent="0.3">
      <c r="B444" s="1205"/>
      <c r="C444" s="1216"/>
      <c r="D444" s="558"/>
      <c r="E444" s="1208"/>
      <c r="F444" s="1202"/>
      <c r="G444" s="1202"/>
      <c r="H444" s="1208"/>
      <c r="I444" s="1208"/>
      <c r="J444" s="1205"/>
      <c r="K444" s="1208"/>
      <c r="L444" s="1208"/>
      <c r="M444" s="547" t="s">
        <v>745</v>
      </c>
      <c r="N444" s="549"/>
      <c r="O444" s="551">
        <v>999.75099999999998</v>
      </c>
      <c r="P444" s="551">
        <v>0</v>
      </c>
      <c r="Q444" s="552">
        <v>0</v>
      </c>
      <c r="R444" s="48"/>
      <c r="S444" s="48"/>
      <c r="T444" s="48"/>
      <c r="U444" s="48"/>
      <c r="V444" s="48"/>
    </row>
    <row r="445" spans="2:22" ht="19.5" customHeight="1" thickBot="1" x14ac:dyDescent="0.3">
      <c r="B445" s="1204" t="s">
        <v>172</v>
      </c>
      <c r="C445" s="1192" t="s">
        <v>291</v>
      </c>
      <c r="D445" s="682" t="s">
        <v>533</v>
      </c>
      <c r="E445" s="1199" t="s">
        <v>411</v>
      </c>
      <c r="F445" s="1201" t="s">
        <v>872</v>
      </c>
      <c r="G445" s="1201" t="s">
        <v>830</v>
      </c>
      <c r="H445" s="1199" t="s">
        <v>240</v>
      </c>
      <c r="I445" s="1199">
        <v>2</v>
      </c>
      <c r="J445" s="1204" t="s">
        <v>462</v>
      </c>
      <c r="K445" s="1199" t="s">
        <v>199</v>
      </c>
      <c r="L445" s="1199" t="s">
        <v>199</v>
      </c>
      <c r="M445" s="672" t="s">
        <v>122</v>
      </c>
      <c r="N445" s="550"/>
      <c r="O445" s="561">
        <f>O446+O447</f>
        <v>374.97500000000002</v>
      </c>
      <c r="P445" s="561">
        <f>P446+P447</f>
        <v>0</v>
      </c>
      <c r="Q445" s="562">
        <f>Q446+Q447</f>
        <v>0</v>
      </c>
      <c r="R445" s="48"/>
      <c r="S445" s="48"/>
      <c r="T445" s="48"/>
      <c r="U445" s="48"/>
      <c r="V445" s="48"/>
    </row>
    <row r="446" spans="2:22" ht="24" customHeight="1" thickBot="1" x14ac:dyDescent="0.3">
      <c r="B446" s="1204"/>
      <c r="C446" s="1192"/>
      <c r="D446" s="555"/>
      <c r="E446" s="1199"/>
      <c r="F446" s="1201"/>
      <c r="G446" s="1201"/>
      <c r="H446" s="1199"/>
      <c r="I446" s="1199"/>
      <c r="J446" s="1204"/>
      <c r="K446" s="1199"/>
      <c r="L446" s="1199"/>
      <c r="M446" s="636" t="s">
        <v>123</v>
      </c>
      <c r="N446" s="549"/>
      <c r="O446" s="551">
        <v>0</v>
      </c>
      <c r="P446" s="551">
        <v>0</v>
      </c>
      <c r="Q446" s="552">
        <v>0</v>
      </c>
      <c r="R446" s="48"/>
      <c r="S446" s="48"/>
      <c r="T446" s="48"/>
      <c r="U446" s="48"/>
      <c r="V446" s="48"/>
    </row>
    <row r="447" spans="2:22" ht="19.5" customHeight="1" thickBot="1" x14ac:dyDescent="0.3">
      <c r="B447" s="1204"/>
      <c r="C447" s="1192"/>
      <c r="D447" s="555"/>
      <c r="E447" s="1199"/>
      <c r="F447" s="1201"/>
      <c r="G447" s="1201"/>
      <c r="H447" s="1199"/>
      <c r="I447" s="1199"/>
      <c r="J447" s="1204"/>
      <c r="K447" s="1199"/>
      <c r="L447" s="1199"/>
      <c r="M447" s="672" t="s">
        <v>124</v>
      </c>
      <c r="N447" s="550"/>
      <c r="O447" s="544">
        <v>374.97500000000002</v>
      </c>
      <c r="P447" s="544">
        <v>0</v>
      </c>
      <c r="Q447" s="675">
        <v>0</v>
      </c>
      <c r="R447" s="48"/>
      <c r="S447" s="48"/>
      <c r="T447" s="48"/>
      <c r="U447" s="48"/>
      <c r="V447" s="48"/>
    </row>
    <row r="448" spans="2:22" ht="23.25" customHeight="1" thickBot="1" x14ac:dyDescent="0.3">
      <c r="B448" s="1204"/>
      <c r="C448" s="1192"/>
      <c r="D448" s="680"/>
      <c r="E448" s="1199"/>
      <c r="F448" s="1201"/>
      <c r="G448" s="1201"/>
      <c r="H448" s="1199"/>
      <c r="I448" s="1199"/>
      <c r="J448" s="1204"/>
      <c r="K448" s="1199"/>
      <c r="L448" s="1199"/>
      <c r="M448" s="671" t="s">
        <v>745</v>
      </c>
      <c r="N448" s="543"/>
      <c r="O448" s="544">
        <v>0</v>
      </c>
      <c r="P448" s="544">
        <v>0</v>
      </c>
      <c r="Q448" s="675">
        <v>0</v>
      </c>
      <c r="R448" s="48"/>
      <c r="S448" s="48"/>
      <c r="T448" s="48"/>
      <c r="U448" s="48"/>
      <c r="V448" s="48"/>
    </row>
    <row r="449" spans="2:22" ht="23.25" customHeight="1" thickBot="1" x14ac:dyDescent="0.3">
      <c r="B449" s="1223" t="s">
        <v>172</v>
      </c>
      <c r="C449" s="1217" t="s">
        <v>291</v>
      </c>
      <c r="D449" s="708" t="s">
        <v>533</v>
      </c>
      <c r="E449" s="1226" t="s">
        <v>411</v>
      </c>
      <c r="F449" s="1220" t="s">
        <v>879</v>
      </c>
      <c r="G449" s="1220" t="s">
        <v>640</v>
      </c>
      <c r="H449" s="1226" t="s">
        <v>240</v>
      </c>
      <c r="I449" s="1226">
        <v>1</v>
      </c>
      <c r="J449" s="1223" t="s">
        <v>462</v>
      </c>
      <c r="K449" s="1226" t="s">
        <v>199</v>
      </c>
      <c r="L449" s="1226" t="s">
        <v>199</v>
      </c>
      <c r="M449" s="709" t="s">
        <v>122</v>
      </c>
      <c r="N449" s="710"/>
      <c r="O449" s="711">
        <f>O450+O451</f>
        <v>1137.4000000000001</v>
      </c>
      <c r="P449" s="711">
        <f>P450+P451</f>
        <v>0</v>
      </c>
      <c r="Q449" s="712">
        <f>Q450+Q451</f>
        <v>0</v>
      </c>
      <c r="R449" s="48"/>
      <c r="S449" s="48"/>
      <c r="T449" s="48"/>
      <c r="U449" s="48"/>
      <c r="V449" s="48"/>
    </row>
    <row r="450" spans="2:22" ht="23.25" customHeight="1" thickBot="1" x14ac:dyDescent="0.3">
      <c r="B450" s="1224"/>
      <c r="C450" s="1218"/>
      <c r="D450" s="713"/>
      <c r="E450" s="1227"/>
      <c r="F450" s="1221"/>
      <c r="G450" s="1221"/>
      <c r="H450" s="1227"/>
      <c r="I450" s="1227"/>
      <c r="J450" s="1224"/>
      <c r="K450" s="1227"/>
      <c r="L450" s="1227"/>
      <c r="M450" s="714" t="s">
        <v>123</v>
      </c>
      <c r="N450" s="715"/>
      <c r="O450" s="716">
        <v>0</v>
      </c>
      <c r="P450" s="716">
        <v>0</v>
      </c>
      <c r="Q450" s="717">
        <v>0</v>
      </c>
      <c r="R450" s="48"/>
      <c r="S450" s="48"/>
      <c r="T450" s="48"/>
      <c r="U450" s="48"/>
      <c r="V450" s="48"/>
    </row>
    <row r="451" spans="2:22" ht="21.75" customHeight="1" thickBot="1" x14ac:dyDescent="0.3">
      <c r="B451" s="1224"/>
      <c r="C451" s="1218"/>
      <c r="D451" s="713"/>
      <c r="E451" s="1227"/>
      <c r="F451" s="1221"/>
      <c r="G451" s="1221"/>
      <c r="H451" s="1227"/>
      <c r="I451" s="1227"/>
      <c r="J451" s="1224"/>
      <c r="K451" s="1227"/>
      <c r="L451" s="1227"/>
      <c r="M451" s="718" t="s">
        <v>124</v>
      </c>
      <c r="N451" s="719"/>
      <c r="O451" s="711">
        <v>1137.4000000000001</v>
      </c>
      <c r="P451" s="711">
        <v>0</v>
      </c>
      <c r="Q451" s="712">
        <v>0</v>
      </c>
      <c r="R451" s="48"/>
      <c r="S451" s="48"/>
      <c r="T451" s="48"/>
      <c r="U451" s="48"/>
      <c r="V451" s="48"/>
    </row>
    <row r="452" spans="2:22" ht="40.5" customHeight="1" thickBot="1" x14ac:dyDescent="0.3">
      <c r="B452" s="1225"/>
      <c r="C452" s="1219"/>
      <c r="D452" s="720"/>
      <c r="E452" s="1228"/>
      <c r="F452" s="1222"/>
      <c r="G452" s="1222"/>
      <c r="H452" s="1228"/>
      <c r="I452" s="1228"/>
      <c r="J452" s="1225"/>
      <c r="K452" s="1228"/>
      <c r="L452" s="1228"/>
      <c r="M452" s="721" t="s">
        <v>745</v>
      </c>
      <c r="N452" s="715"/>
      <c r="O452" s="716">
        <v>0</v>
      </c>
      <c r="P452" s="716">
        <v>0</v>
      </c>
      <c r="Q452" s="717">
        <v>0</v>
      </c>
      <c r="R452" s="48"/>
      <c r="S452" s="48"/>
      <c r="T452" s="48"/>
      <c r="U452" s="48"/>
      <c r="V452" s="48"/>
    </row>
    <row r="453" spans="2:22" ht="24" customHeight="1" thickBot="1" x14ac:dyDescent="0.3">
      <c r="B453" s="1204" t="s">
        <v>172</v>
      </c>
      <c r="C453" s="1192" t="s">
        <v>291</v>
      </c>
      <c r="D453" s="682">
        <v>27301829</v>
      </c>
      <c r="E453" s="1199" t="s">
        <v>419</v>
      </c>
      <c r="F453" s="1201" t="s">
        <v>837</v>
      </c>
      <c r="G453" s="1201" t="s">
        <v>190</v>
      </c>
      <c r="H453" s="1209" t="s">
        <v>240</v>
      </c>
      <c r="I453" s="1199">
        <v>1</v>
      </c>
      <c r="J453" s="1204" t="s">
        <v>462</v>
      </c>
      <c r="K453" s="1199" t="s">
        <v>199</v>
      </c>
      <c r="L453" s="1199" t="s">
        <v>199</v>
      </c>
      <c r="M453" s="672" t="s">
        <v>122</v>
      </c>
      <c r="N453" s="550"/>
      <c r="O453" s="561">
        <f>O454+O455</f>
        <v>800</v>
      </c>
      <c r="P453" s="561">
        <f>P454+P455</f>
        <v>0</v>
      </c>
      <c r="Q453" s="562">
        <f>Q454+Q455</f>
        <v>0</v>
      </c>
      <c r="R453" s="48"/>
      <c r="S453" s="48"/>
      <c r="T453" s="48"/>
      <c r="U453" s="48"/>
      <c r="V453" s="48"/>
    </row>
    <row r="454" spans="2:22" ht="24" customHeight="1" thickBot="1" x14ac:dyDescent="0.3">
      <c r="B454" s="1204"/>
      <c r="C454" s="1192"/>
      <c r="D454" s="555"/>
      <c r="E454" s="1199"/>
      <c r="F454" s="1201"/>
      <c r="G454" s="1201"/>
      <c r="H454" s="1209"/>
      <c r="I454" s="1199"/>
      <c r="J454" s="1204"/>
      <c r="K454" s="1199"/>
      <c r="L454" s="1199"/>
      <c r="M454" s="636" t="s">
        <v>123</v>
      </c>
      <c r="N454" s="549"/>
      <c r="O454" s="551">
        <v>0</v>
      </c>
      <c r="P454" s="551">
        <v>0</v>
      </c>
      <c r="Q454" s="552">
        <v>0</v>
      </c>
      <c r="R454" s="48"/>
      <c r="S454" s="48"/>
      <c r="T454" s="48"/>
      <c r="U454" s="48"/>
      <c r="V454" s="48"/>
    </row>
    <row r="455" spans="2:22" ht="26.25" customHeight="1" thickBot="1" x14ac:dyDescent="0.3">
      <c r="B455" s="1204"/>
      <c r="C455" s="1192"/>
      <c r="D455" s="555"/>
      <c r="E455" s="1199"/>
      <c r="F455" s="1201"/>
      <c r="G455" s="1201"/>
      <c r="H455" s="1209"/>
      <c r="I455" s="1199"/>
      <c r="J455" s="1204"/>
      <c r="K455" s="1199"/>
      <c r="L455" s="1199"/>
      <c r="M455" s="672" t="s">
        <v>124</v>
      </c>
      <c r="N455" s="550"/>
      <c r="O455" s="544">
        <v>800</v>
      </c>
      <c r="P455" s="544">
        <v>0</v>
      </c>
      <c r="Q455" s="675">
        <v>0</v>
      </c>
      <c r="R455" s="48"/>
      <c r="S455" s="48"/>
      <c r="T455" s="48"/>
      <c r="U455" s="48"/>
      <c r="V455" s="48"/>
    </row>
    <row r="456" spans="2:22" ht="23.25" customHeight="1" thickBot="1" x14ac:dyDescent="0.3">
      <c r="B456" s="1204"/>
      <c r="C456" s="1192"/>
      <c r="D456" s="680"/>
      <c r="E456" s="1199"/>
      <c r="F456" s="1201"/>
      <c r="G456" s="1201"/>
      <c r="H456" s="1209"/>
      <c r="I456" s="1199"/>
      <c r="J456" s="1204"/>
      <c r="K456" s="1199"/>
      <c r="L456" s="1199"/>
      <c r="M456" s="671" t="s">
        <v>745</v>
      </c>
      <c r="N456" s="543"/>
      <c r="O456" s="544">
        <v>0</v>
      </c>
      <c r="P456" s="544">
        <v>0</v>
      </c>
      <c r="Q456" s="675">
        <v>0</v>
      </c>
      <c r="R456" s="48"/>
      <c r="S456" s="48"/>
      <c r="T456" s="48"/>
      <c r="U456" s="48"/>
      <c r="V456" s="48"/>
    </row>
    <row r="457" spans="2:22" ht="30" customHeight="1" thickBot="1" x14ac:dyDescent="0.3">
      <c r="B457" s="1206" t="s">
        <v>172</v>
      </c>
      <c r="C457" s="1215" t="s">
        <v>291</v>
      </c>
      <c r="D457" s="654">
        <v>27301829</v>
      </c>
      <c r="E457" s="1207" t="s">
        <v>419</v>
      </c>
      <c r="F457" s="1200" t="s">
        <v>566</v>
      </c>
      <c r="G457" s="1200" t="s">
        <v>567</v>
      </c>
      <c r="H457" s="1207" t="s">
        <v>240</v>
      </c>
      <c r="I457" s="1207">
        <v>2</v>
      </c>
      <c r="J457" s="1206" t="s">
        <v>462</v>
      </c>
      <c r="K457" s="1207" t="s">
        <v>199</v>
      </c>
      <c r="L457" s="1207" t="s">
        <v>199</v>
      </c>
      <c r="M457" s="542" t="s">
        <v>122</v>
      </c>
      <c r="N457" s="543"/>
      <c r="O457" s="544">
        <f>O458+O459</f>
        <v>0</v>
      </c>
      <c r="P457" s="544">
        <f>P458+P459</f>
        <v>0</v>
      </c>
      <c r="Q457" s="675">
        <f>Q458+Q459</f>
        <v>0</v>
      </c>
      <c r="R457" s="48"/>
      <c r="S457" s="48"/>
      <c r="T457" s="48"/>
      <c r="U457" s="48"/>
      <c r="V457" s="48"/>
    </row>
    <row r="458" spans="2:22" ht="23.25" customHeight="1" thickBot="1" x14ac:dyDescent="0.3">
      <c r="B458" s="1204"/>
      <c r="C458" s="1192"/>
      <c r="D458" s="555"/>
      <c r="E458" s="1199"/>
      <c r="F458" s="1201"/>
      <c r="G458" s="1201"/>
      <c r="H458" s="1199"/>
      <c r="I458" s="1199"/>
      <c r="J458" s="1204"/>
      <c r="K458" s="1199"/>
      <c r="L458" s="1199"/>
      <c r="M458" s="636" t="s">
        <v>123</v>
      </c>
      <c r="N458" s="549"/>
      <c r="O458" s="551">
        <v>0</v>
      </c>
      <c r="P458" s="551">
        <v>0</v>
      </c>
      <c r="Q458" s="552">
        <v>0</v>
      </c>
      <c r="R458" s="48"/>
      <c r="S458" s="48"/>
      <c r="T458" s="48"/>
      <c r="U458" s="48"/>
      <c r="V458" s="48"/>
    </row>
    <row r="459" spans="2:22" ht="24" customHeight="1" thickBot="1" x14ac:dyDescent="0.3">
      <c r="B459" s="1204"/>
      <c r="C459" s="1192"/>
      <c r="D459" s="555"/>
      <c r="E459" s="1199"/>
      <c r="F459" s="1201"/>
      <c r="G459" s="1201"/>
      <c r="H459" s="1199"/>
      <c r="I459" s="1199"/>
      <c r="J459" s="1204"/>
      <c r="K459" s="1199"/>
      <c r="L459" s="1199"/>
      <c r="M459" s="672" t="s">
        <v>124</v>
      </c>
      <c r="N459" s="550"/>
      <c r="O459" s="544">
        <v>0</v>
      </c>
      <c r="P459" s="544">
        <v>0</v>
      </c>
      <c r="Q459" s="675">
        <v>0</v>
      </c>
      <c r="R459" s="48"/>
      <c r="S459" s="48"/>
      <c r="T459" s="48"/>
      <c r="U459" s="48"/>
      <c r="V459" s="48"/>
    </row>
    <row r="460" spans="2:22" ht="24" customHeight="1" thickBot="1" x14ac:dyDescent="0.3">
      <c r="B460" s="1205"/>
      <c r="C460" s="1216"/>
      <c r="D460" s="558"/>
      <c r="E460" s="1208"/>
      <c r="F460" s="1202"/>
      <c r="G460" s="1202"/>
      <c r="H460" s="1208"/>
      <c r="I460" s="1208"/>
      <c r="J460" s="1205"/>
      <c r="K460" s="1208"/>
      <c r="L460" s="1208"/>
      <c r="M460" s="547" t="s">
        <v>745</v>
      </c>
      <c r="N460" s="549"/>
      <c r="O460" s="551">
        <v>521.86</v>
      </c>
      <c r="P460" s="551">
        <v>0</v>
      </c>
      <c r="Q460" s="552">
        <v>0</v>
      </c>
      <c r="R460" s="48"/>
      <c r="S460" s="48"/>
      <c r="T460" s="48"/>
      <c r="U460" s="48"/>
      <c r="V460" s="48"/>
    </row>
    <row r="461" spans="2:22" ht="24" customHeight="1" thickBot="1" x14ac:dyDescent="0.3">
      <c r="B461" s="1204" t="s">
        <v>172</v>
      </c>
      <c r="C461" s="1192" t="s">
        <v>291</v>
      </c>
      <c r="D461" s="682">
        <v>27301829</v>
      </c>
      <c r="E461" s="1199" t="s">
        <v>419</v>
      </c>
      <c r="F461" s="1201" t="s">
        <v>762</v>
      </c>
      <c r="G461" s="1201" t="s">
        <v>414</v>
      </c>
      <c r="H461" s="1199" t="s">
        <v>240</v>
      </c>
      <c r="I461" s="1199">
        <v>2</v>
      </c>
      <c r="J461" s="1204" t="s">
        <v>462</v>
      </c>
      <c r="K461" s="1199" t="s">
        <v>199</v>
      </c>
      <c r="L461" s="1199" t="s">
        <v>199</v>
      </c>
      <c r="M461" s="672" t="s">
        <v>122</v>
      </c>
      <c r="N461" s="550"/>
      <c r="O461" s="561">
        <f>O462+O463</f>
        <v>0</v>
      </c>
      <c r="P461" s="561">
        <f>P462+P463</f>
        <v>0</v>
      </c>
      <c r="Q461" s="562">
        <f>Q462+Q463</f>
        <v>0</v>
      </c>
      <c r="R461" s="48"/>
      <c r="S461" s="48"/>
      <c r="T461" s="48"/>
      <c r="U461" s="48"/>
      <c r="V461" s="48"/>
    </row>
    <row r="462" spans="2:22" ht="21.75" customHeight="1" thickBot="1" x14ac:dyDescent="0.3">
      <c r="B462" s="1204"/>
      <c r="C462" s="1192"/>
      <c r="D462" s="555"/>
      <c r="E462" s="1199"/>
      <c r="F462" s="1201"/>
      <c r="G462" s="1201"/>
      <c r="H462" s="1199"/>
      <c r="I462" s="1199"/>
      <c r="J462" s="1204"/>
      <c r="K462" s="1199"/>
      <c r="L462" s="1199"/>
      <c r="M462" s="636" t="s">
        <v>123</v>
      </c>
      <c r="N462" s="549"/>
      <c r="O462" s="551">
        <v>0</v>
      </c>
      <c r="P462" s="551">
        <v>0</v>
      </c>
      <c r="Q462" s="552">
        <v>0</v>
      </c>
      <c r="R462" s="48"/>
      <c r="S462" s="48"/>
      <c r="T462" s="48"/>
      <c r="U462" s="48"/>
      <c r="V462" s="48"/>
    </row>
    <row r="463" spans="2:22" ht="20.25" customHeight="1" thickBot="1" x14ac:dyDescent="0.3">
      <c r="B463" s="1204"/>
      <c r="C463" s="1192"/>
      <c r="D463" s="555"/>
      <c r="E463" s="1199"/>
      <c r="F463" s="1201"/>
      <c r="G463" s="1201"/>
      <c r="H463" s="1199"/>
      <c r="I463" s="1199"/>
      <c r="J463" s="1204"/>
      <c r="K463" s="1199"/>
      <c r="L463" s="1199"/>
      <c r="M463" s="672" t="s">
        <v>124</v>
      </c>
      <c r="N463" s="550"/>
      <c r="O463" s="544">
        <v>0</v>
      </c>
      <c r="P463" s="544">
        <v>0</v>
      </c>
      <c r="Q463" s="675">
        <v>0</v>
      </c>
      <c r="R463" s="48"/>
      <c r="S463" s="48"/>
      <c r="T463" s="48"/>
      <c r="U463" s="48"/>
      <c r="V463" s="48"/>
    </row>
    <row r="464" spans="2:22" ht="20.25" customHeight="1" thickBot="1" x14ac:dyDescent="0.3">
      <c r="B464" s="1204"/>
      <c r="C464" s="1192"/>
      <c r="D464" s="680"/>
      <c r="E464" s="1199"/>
      <c r="F464" s="1201"/>
      <c r="G464" s="1201"/>
      <c r="H464" s="1199"/>
      <c r="I464" s="1199"/>
      <c r="J464" s="1204"/>
      <c r="K464" s="1199"/>
      <c r="L464" s="1199"/>
      <c r="M464" s="671" t="s">
        <v>745</v>
      </c>
      <c r="N464" s="543"/>
      <c r="O464" s="544">
        <v>58</v>
      </c>
      <c r="P464" s="544">
        <v>0</v>
      </c>
      <c r="Q464" s="675">
        <v>0</v>
      </c>
      <c r="R464" s="48"/>
      <c r="S464" s="48"/>
      <c r="T464" s="48"/>
      <c r="U464" s="48"/>
      <c r="V464" s="48"/>
    </row>
    <row r="465" spans="2:22" ht="23.25" customHeight="1" thickBot="1" x14ac:dyDescent="0.3">
      <c r="B465" s="1206" t="s">
        <v>172</v>
      </c>
      <c r="C465" s="1215" t="s">
        <v>291</v>
      </c>
      <c r="D465" s="654">
        <v>27301829</v>
      </c>
      <c r="E465" s="1207" t="s">
        <v>385</v>
      </c>
      <c r="F465" s="1200" t="s">
        <v>832</v>
      </c>
      <c r="G465" s="1200" t="s">
        <v>833</v>
      </c>
      <c r="H465" s="1207" t="s">
        <v>240</v>
      </c>
      <c r="I465" s="1207">
        <v>2</v>
      </c>
      <c r="J465" s="1206" t="s">
        <v>462</v>
      </c>
      <c r="K465" s="1207" t="s">
        <v>199</v>
      </c>
      <c r="L465" s="1207" t="s">
        <v>199</v>
      </c>
      <c r="M465" s="542" t="s">
        <v>122</v>
      </c>
      <c r="N465" s="543"/>
      <c r="O465" s="544">
        <f>O466+O467</f>
        <v>5000</v>
      </c>
      <c r="P465" s="544">
        <f>P466+P467</f>
        <v>0</v>
      </c>
      <c r="Q465" s="675">
        <f>Q466+Q467</f>
        <v>0</v>
      </c>
      <c r="R465" s="48"/>
      <c r="S465" s="48"/>
      <c r="T465" s="48"/>
      <c r="U465" s="48"/>
      <c r="V465" s="48"/>
    </row>
    <row r="466" spans="2:22" ht="24.75" customHeight="1" thickBot="1" x14ac:dyDescent="0.3">
      <c r="B466" s="1204"/>
      <c r="C466" s="1192"/>
      <c r="D466" s="555"/>
      <c r="E466" s="1199"/>
      <c r="F466" s="1201"/>
      <c r="G466" s="1201"/>
      <c r="H466" s="1199"/>
      <c r="I466" s="1199"/>
      <c r="J466" s="1204"/>
      <c r="K466" s="1199"/>
      <c r="L466" s="1199"/>
      <c r="M466" s="636" t="s">
        <v>123</v>
      </c>
      <c r="N466" s="549"/>
      <c r="O466" s="551">
        <v>0</v>
      </c>
      <c r="P466" s="551">
        <v>0</v>
      </c>
      <c r="Q466" s="552">
        <v>0</v>
      </c>
      <c r="R466" s="48"/>
      <c r="S466" s="48"/>
      <c r="T466" s="48"/>
      <c r="U466" s="48"/>
      <c r="V466" s="48"/>
    </row>
    <row r="467" spans="2:22" ht="22.5" customHeight="1" thickBot="1" x14ac:dyDescent="0.3">
      <c r="B467" s="1204"/>
      <c r="C467" s="1192"/>
      <c r="D467" s="555"/>
      <c r="E467" s="1199"/>
      <c r="F467" s="1201"/>
      <c r="G467" s="1201"/>
      <c r="H467" s="1199"/>
      <c r="I467" s="1199"/>
      <c r="J467" s="1204"/>
      <c r="K467" s="1199"/>
      <c r="L467" s="1199"/>
      <c r="M467" s="672" t="s">
        <v>124</v>
      </c>
      <c r="N467" s="550"/>
      <c r="O467" s="544">
        <v>5000</v>
      </c>
      <c r="P467" s="544">
        <v>0</v>
      </c>
      <c r="Q467" s="675">
        <v>0</v>
      </c>
      <c r="R467" s="48"/>
      <c r="S467" s="48"/>
      <c r="T467" s="48"/>
      <c r="U467" s="48"/>
      <c r="V467" s="48"/>
    </row>
    <row r="468" spans="2:22" ht="18.75" customHeight="1" thickBot="1" x14ac:dyDescent="0.3">
      <c r="B468" s="1205"/>
      <c r="C468" s="1216"/>
      <c r="D468" s="558"/>
      <c r="E468" s="1208"/>
      <c r="F468" s="1202"/>
      <c r="G468" s="1202"/>
      <c r="H468" s="1208"/>
      <c r="I468" s="1208"/>
      <c r="J468" s="1205"/>
      <c r="K468" s="1208"/>
      <c r="L468" s="1208"/>
      <c r="M468" s="547" t="s">
        <v>745</v>
      </c>
      <c r="N468" s="549"/>
      <c r="O468" s="551">
        <v>0</v>
      </c>
      <c r="P468" s="551">
        <v>0</v>
      </c>
      <c r="Q468" s="552">
        <v>0</v>
      </c>
      <c r="R468" s="48"/>
      <c r="S468" s="48"/>
      <c r="T468" s="48"/>
      <c r="U468" s="48"/>
      <c r="V468" s="48"/>
    </row>
    <row r="469" spans="2:22" ht="32.25" customHeight="1" thickBot="1" x14ac:dyDescent="0.3">
      <c r="B469" s="1224" t="s">
        <v>172</v>
      </c>
      <c r="C469" s="1218" t="s">
        <v>291</v>
      </c>
      <c r="D469" s="722">
        <v>27301829</v>
      </c>
      <c r="E469" s="1227" t="s">
        <v>422</v>
      </c>
      <c r="F469" s="1221" t="s">
        <v>879</v>
      </c>
      <c r="G469" s="1221" t="s">
        <v>640</v>
      </c>
      <c r="H469" s="1227" t="s">
        <v>240</v>
      </c>
      <c r="I469" s="1227">
        <v>1</v>
      </c>
      <c r="J469" s="1224" t="s">
        <v>462</v>
      </c>
      <c r="K469" s="1227" t="s">
        <v>199</v>
      </c>
      <c r="L469" s="1227" t="s">
        <v>199</v>
      </c>
      <c r="M469" s="718" t="s">
        <v>122</v>
      </c>
      <c r="N469" s="719"/>
      <c r="O469" s="723">
        <f>O470+O471</f>
        <v>1137.4000000000001</v>
      </c>
      <c r="P469" s="723">
        <f>P470+P471</f>
        <v>0</v>
      </c>
      <c r="Q469" s="724">
        <f>Q470+Q471</f>
        <v>0</v>
      </c>
      <c r="R469" s="48"/>
      <c r="S469" s="48"/>
      <c r="T469" s="48"/>
      <c r="U469" s="48"/>
      <c r="V469" s="48"/>
    </row>
    <row r="470" spans="2:22" ht="26.25" customHeight="1" thickBot="1" x14ac:dyDescent="0.3">
      <c r="B470" s="1224"/>
      <c r="C470" s="1218"/>
      <c r="D470" s="713"/>
      <c r="E470" s="1227"/>
      <c r="F470" s="1221"/>
      <c r="G470" s="1221"/>
      <c r="H470" s="1227"/>
      <c r="I470" s="1227"/>
      <c r="J470" s="1224"/>
      <c r="K470" s="1227"/>
      <c r="L470" s="1227"/>
      <c r="M470" s="714" t="s">
        <v>123</v>
      </c>
      <c r="N470" s="715"/>
      <c r="O470" s="716">
        <v>0</v>
      </c>
      <c r="P470" s="716">
        <v>0</v>
      </c>
      <c r="Q470" s="717">
        <v>0</v>
      </c>
      <c r="R470" s="48"/>
      <c r="S470" s="48"/>
      <c r="T470" s="48"/>
      <c r="U470" s="48"/>
      <c r="V470" s="48"/>
    </row>
    <row r="471" spans="2:22" ht="20.25" customHeight="1" thickBot="1" x14ac:dyDescent="0.3">
      <c r="B471" s="1224"/>
      <c r="C471" s="1218"/>
      <c r="D471" s="713"/>
      <c r="E471" s="1227"/>
      <c r="F471" s="1221"/>
      <c r="G471" s="1221"/>
      <c r="H471" s="1227"/>
      <c r="I471" s="1227"/>
      <c r="J471" s="1224"/>
      <c r="K471" s="1227"/>
      <c r="L471" s="1227"/>
      <c r="M471" s="718" t="s">
        <v>124</v>
      </c>
      <c r="N471" s="719"/>
      <c r="O471" s="711">
        <v>1137.4000000000001</v>
      </c>
      <c r="P471" s="711">
        <v>0</v>
      </c>
      <c r="Q471" s="712">
        <v>0</v>
      </c>
      <c r="R471" s="48"/>
      <c r="S471" s="48"/>
      <c r="T471" s="48"/>
      <c r="U471" s="48"/>
      <c r="V471" s="48"/>
    </row>
    <row r="472" spans="2:22" ht="31.5" customHeight="1" thickBot="1" x14ac:dyDescent="0.3">
      <c r="B472" s="1224"/>
      <c r="C472" s="1218"/>
      <c r="D472" s="725"/>
      <c r="E472" s="1227"/>
      <c r="F472" s="1221"/>
      <c r="G472" s="1221"/>
      <c r="H472" s="1227"/>
      <c r="I472" s="1227"/>
      <c r="J472" s="1224"/>
      <c r="K472" s="1227"/>
      <c r="L472" s="1227"/>
      <c r="M472" s="726" t="s">
        <v>745</v>
      </c>
      <c r="N472" s="710"/>
      <c r="O472" s="711">
        <v>0</v>
      </c>
      <c r="P472" s="711">
        <v>0</v>
      </c>
      <c r="Q472" s="712">
        <v>0</v>
      </c>
      <c r="R472" s="48"/>
      <c r="S472" s="48"/>
      <c r="T472" s="48"/>
      <c r="U472" s="48"/>
      <c r="V472" s="48"/>
    </row>
    <row r="473" spans="2:22" ht="22.5" customHeight="1" thickBot="1" x14ac:dyDescent="0.3">
      <c r="B473" s="1206" t="s">
        <v>172</v>
      </c>
      <c r="C473" s="1215" t="s">
        <v>291</v>
      </c>
      <c r="D473" s="654">
        <v>27301829</v>
      </c>
      <c r="E473" s="1207" t="s">
        <v>422</v>
      </c>
      <c r="F473" s="1200" t="s">
        <v>831</v>
      </c>
      <c r="G473" s="1200" t="s">
        <v>425</v>
      </c>
      <c r="H473" s="1207" t="s">
        <v>240</v>
      </c>
      <c r="I473" s="1207">
        <v>1</v>
      </c>
      <c r="J473" s="1206" t="s">
        <v>462</v>
      </c>
      <c r="K473" s="1207" t="s">
        <v>199</v>
      </c>
      <c r="L473" s="1207" t="s">
        <v>199</v>
      </c>
      <c r="M473" s="542" t="s">
        <v>122</v>
      </c>
      <c r="N473" s="543"/>
      <c r="O473" s="544">
        <f>O474+O475</f>
        <v>788</v>
      </c>
      <c r="P473" s="544">
        <f>P474+P475</f>
        <v>0</v>
      </c>
      <c r="Q473" s="675">
        <f>Q474+Q475</f>
        <v>0</v>
      </c>
      <c r="R473" s="48"/>
      <c r="S473" s="48"/>
      <c r="T473" s="48"/>
      <c r="U473" s="48"/>
      <c r="V473" s="48"/>
    </row>
    <row r="474" spans="2:22" ht="22.5" customHeight="1" thickBot="1" x14ac:dyDescent="0.3">
      <c r="B474" s="1204"/>
      <c r="C474" s="1192"/>
      <c r="D474" s="555"/>
      <c r="E474" s="1199"/>
      <c r="F474" s="1201"/>
      <c r="G474" s="1201"/>
      <c r="H474" s="1199"/>
      <c r="I474" s="1199"/>
      <c r="J474" s="1204"/>
      <c r="K474" s="1199"/>
      <c r="L474" s="1199"/>
      <c r="M474" s="636" t="s">
        <v>123</v>
      </c>
      <c r="N474" s="549"/>
      <c r="O474" s="551">
        <v>0</v>
      </c>
      <c r="P474" s="551">
        <v>0</v>
      </c>
      <c r="Q474" s="552">
        <v>0</v>
      </c>
      <c r="R474" s="48"/>
      <c r="S474" s="48"/>
      <c r="T474" s="48"/>
      <c r="U474" s="48"/>
      <c r="V474" s="48"/>
    </row>
    <row r="475" spans="2:22" ht="25.5" customHeight="1" thickBot="1" x14ac:dyDescent="0.3">
      <c r="B475" s="1204"/>
      <c r="C475" s="1192"/>
      <c r="D475" s="555"/>
      <c r="E475" s="1199"/>
      <c r="F475" s="1201"/>
      <c r="G475" s="1201"/>
      <c r="H475" s="1199"/>
      <c r="I475" s="1199"/>
      <c r="J475" s="1204"/>
      <c r="K475" s="1199"/>
      <c r="L475" s="1199"/>
      <c r="M475" s="672" t="s">
        <v>124</v>
      </c>
      <c r="N475" s="550"/>
      <c r="O475" s="544">
        <v>788</v>
      </c>
      <c r="P475" s="544">
        <v>0</v>
      </c>
      <c r="Q475" s="675">
        <v>0</v>
      </c>
      <c r="R475" s="48"/>
      <c r="S475" s="48"/>
      <c r="T475" s="48"/>
      <c r="U475" s="48"/>
      <c r="V475" s="48"/>
    </row>
    <row r="476" spans="2:22" ht="24.75" customHeight="1" thickBot="1" x14ac:dyDescent="0.3">
      <c r="B476" s="1205"/>
      <c r="C476" s="1216"/>
      <c r="D476" s="558"/>
      <c r="E476" s="1208"/>
      <c r="F476" s="1202"/>
      <c r="G476" s="1202"/>
      <c r="H476" s="1208"/>
      <c r="I476" s="1208"/>
      <c r="J476" s="1205"/>
      <c r="K476" s="1208"/>
      <c r="L476" s="1208"/>
      <c r="M476" s="547" t="s">
        <v>745</v>
      </c>
      <c r="N476" s="549"/>
      <c r="O476" s="551">
        <v>0</v>
      </c>
      <c r="P476" s="551">
        <v>0</v>
      </c>
      <c r="Q476" s="552">
        <v>0</v>
      </c>
      <c r="R476" s="48"/>
      <c r="S476" s="48"/>
      <c r="T476" s="48"/>
      <c r="U476" s="48"/>
      <c r="V476" s="48"/>
    </row>
    <row r="477" spans="2:22" ht="22.5" customHeight="1" thickBot="1" x14ac:dyDescent="0.3">
      <c r="B477" s="1204" t="s">
        <v>172</v>
      </c>
      <c r="C477" s="1192" t="s">
        <v>291</v>
      </c>
      <c r="D477" s="682">
        <v>27301829</v>
      </c>
      <c r="E477" s="1199" t="s">
        <v>426</v>
      </c>
      <c r="F477" s="1201" t="s">
        <v>763</v>
      </c>
      <c r="G477" s="1201" t="s">
        <v>388</v>
      </c>
      <c r="H477" s="1209" t="s">
        <v>240</v>
      </c>
      <c r="I477" s="1199" t="s">
        <v>263</v>
      </c>
      <c r="J477" s="1204" t="s">
        <v>462</v>
      </c>
      <c r="K477" s="1199" t="s">
        <v>199</v>
      </c>
      <c r="L477" s="1199" t="s">
        <v>199</v>
      </c>
      <c r="M477" s="672" t="s">
        <v>122</v>
      </c>
      <c r="N477" s="550"/>
      <c r="O477" s="561">
        <f>O478+O479</f>
        <v>0</v>
      </c>
      <c r="P477" s="561">
        <f>P478+P479</f>
        <v>0</v>
      </c>
      <c r="Q477" s="562">
        <f>Q478+Q479</f>
        <v>0</v>
      </c>
      <c r="R477" s="48"/>
      <c r="S477" s="48"/>
      <c r="T477" s="48"/>
      <c r="U477" s="48"/>
      <c r="V477" s="48"/>
    </row>
    <row r="478" spans="2:22" ht="22.5" customHeight="1" thickBot="1" x14ac:dyDescent="0.3">
      <c r="B478" s="1204"/>
      <c r="C478" s="1192"/>
      <c r="D478" s="555"/>
      <c r="E478" s="1199"/>
      <c r="F478" s="1201"/>
      <c r="G478" s="1201"/>
      <c r="H478" s="1209"/>
      <c r="I478" s="1199"/>
      <c r="J478" s="1204"/>
      <c r="K478" s="1199"/>
      <c r="L478" s="1199"/>
      <c r="M478" s="636" t="s">
        <v>123</v>
      </c>
      <c r="N478" s="549"/>
      <c r="O478" s="551">
        <v>0</v>
      </c>
      <c r="P478" s="551">
        <v>0</v>
      </c>
      <c r="Q478" s="552">
        <v>0</v>
      </c>
      <c r="R478" s="48"/>
      <c r="S478" s="48"/>
      <c r="T478" s="48"/>
      <c r="U478" s="48"/>
      <c r="V478" s="48"/>
    </row>
    <row r="479" spans="2:22" ht="21.75" customHeight="1" thickBot="1" x14ac:dyDescent="0.3">
      <c r="B479" s="1204"/>
      <c r="C479" s="1192"/>
      <c r="D479" s="555"/>
      <c r="E479" s="1199"/>
      <c r="F479" s="1201"/>
      <c r="G479" s="1201"/>
      <c r="H479" s="1209"/>
      <c r="I479" s="1199"/>
      <c r="J479" s="1204"/>
      <c r="K479" s="1199"/>
      <c r="L479" s="1199"/>
      <c r="M479" s="672" t="s">
        <v>124</v>
      </c>
      <c r="N479" s="550"/>
      <c r="O479" s="544">
        <v>0</v>
      </c>
      <c r="P479" s="544">
        <v>0</v>
      </c>
      <c r="Q479" s="675">
        <v>0</v>
      </c>
      <c r="R479" s="48"/>
      <c r="S479" s="48"/>
      <c r="T479" s="48"/>
      <c r="U479" s="48"/>
      <c r="V479" s="48"/>
    </row>
    <row r="480" spans="2:22" ht="19.5" customHeight="1" thickBot="1" x14ac:dyDescent="0.3">
      <c r="B480" s="1204"/>
      <c r="C480" s="1192"/>
      <c r="D480" s="680"/>
      <c r="E480" s="1199"/>
      <c r="F480" s="1201"/>
      <c r="G480" s="1201"/>
      <c r="H480" s="1209"/>
      <c r="I480" s="1199"/>
      <c r="J480" s="1204"/>
      <c r="K480" s="1199"/>
      <c r="L480" s="1199"/>
      <c r="M480" s="671" t="s">
        <v>745</v>
      </c>
      <c r="N480" s="543"/>
      <c r="O480" s="544">
        <v>898.53</v>
      </c>
      <c r="P480" s="544">
        <v>0</v>
      </c>
      <c r="Q480" s="675">
        <v>0</v>
      </c>
      <c r="R480" s="48"/>
      <c r="S480" s="48"/>
      <c r="T480" s="48"/>
      <c r="U480" s="48"/>
      <c r="V480" s="48"/>
    </row>
    <row r="481" spans="2:22" ht="19.5" customHeight="1" thickBot="1" x14ac:dyDescent="0.3">
      <c r="B481" s="1223" t="s">
        <v>172</v>
      </c>
      <c r="C481" s="1217" t="s">
        <v>291</v>
      </c>
      <c r="D481" s="708">
        <v>27301829</v>
      </c>
      <c r="E481" s="1226" t="s">
        <v>426</v>
      </c>
      <c r="F481" s="1314" t="s">
        <v>877</v>
      </c>
      <c r="G481" s="1220" t="s">
        <v>829</v>
      </c>
      <c r="H481" s="1315" t="s">
        <v>240</v>
      </c>
      <c r="I481" s="1226">
        <v>1</v>
      </c>
      <c r="J481" s="1223" t="s">
        <v>462</v>
      </c>
      <c r="K481" s="1226" t="s">
        <v>199</v>
      </c>
      <c r="L481" s="1226" t="s">
        <v>199</v>
      </c>
      <c r="M481" s="709" t="s">
        <v>122</v>
      </c>
      <c r="N481" s="710"/>
      <c r="O481" s="711">
        <f>O482+O483</f>
        <v>1500</v>
      </c>
      <c r="P481" s="711">
        <f>P482+P483</f>
        <v>0</v>
      </c>
      <c r="Q481" s="712">
        <f>Q482+Q483</f>
        <v>0</v>
      </c>
      <c r="R481" s="48"/>
      <c r="S481" s="48"/>
      <c r="T481" s="48"/>
      <c r="U481" s="48"/>
      <c r="V481" s="48"/>
    </row>
    <row r="482" spans="2:22" ht="19.5" customHeight="1" thickBot="1" x14ac:dyDescent="0.3">
      <c r="B482" s="1224"/>
      <c r="C482" s="1218"/>
      <c r="D482" s="713"/>
      <c r="E482" s="1227"/>
      <c r="F482" s="1221"/>
      <c r="G482" s="1221"/>
      <c r="H482" s="1316"/>
      <c r="I482" s="1227"/>
      <c r="J482" s="1224"/>
      <c r="K482" s="1227"/>
      <c r="L482" s="1227"/>
      <c r="M482" s="714" t="s">
        <v>123</v>
      </c>
      <c r="N482" s="715"/>
      <c r="O482" s="716">
        <v>0</v>
      </c>
      <c r="P482" s="716">
        <v>0</v>
      </c>
      <c r="Q482" s="717">
        <v>0</v>
      </c>
      <c r="R482" s="48"/>
      <c r="S482" s="48"/>
      <c r="T482" s="48"/>
      <c r="U482" s="48"/>
      <c r="V482" s="48"/>
    </row>
    <row r="483" spans="2:22" ht="19.5" customHeight="1" thickBot="1" x14ac:dyDescent="0.3">
      <c r="B483" s="1224"/>
      <c r="C483" s="1218"/>
      <c r="D483" s="713"/>
      <c r="E483" s="1227"/>
      <c r="F483" s="1221"/>
      <c r="G483" s="1221"/>
      <c r="H483" s="1316"/>
      <c r="I483" s="1227"/>
      <c r="J483" s="1224"/>
      <c r="K483" s="1227"/>
      <c r="L483" s="1227"/>
      <c r="M483" s="718" t="s">
        <v>124</v>
      </c>
      <c r="N483" s="719"/>
      <c r="O483" s="711">
        <v>1500</v>
      </c>
      <c r="P483" s="711">
        <v>0</v>
      </c>
      <c r="Q483" s="712">
        <v>0</v>
      </c>
      <c r="R483" s="48"/>
      <c r="S483" s="48"/>
      <c r="T483" s="48"/>
      <c r="U483" s="48"/>
      <c r="V483" s="48"/>
    </row>
    <row r="484" spans="2:22" ht="19.5" customHeight="1" thickBot="1" x14ac:dyDescent="0.3">
      <c r="B484" s="1225"/>
      <c r="C484" s="1219"/>
      <c r="D484" s="720"/>
      <c r="E484" s="1228"/>
      <c r="F484" s="1222"/>
      <c r="G484" s="1222"/>
      <c r="H484" s="1317"/>
      <c r="I484" s="1228"/>
      <c r="J484" s="1225"/>
      <c r="K484" s="1228"/>
      <c r="L484" s="1228"/>
      <c r="M484" s="721" t="s">
        <v>745</v>
      </c>
      <c r="N484" s="715"/>
      <c r="O484" s="716">
        <v>0</v>
      </c>
      <c r="P484" s="716">
        <v>0</v>
      </c>
      <c r="Q484" s="717">
        <v>0</v>
      </c>
      <c r="R484" s="48"/>
      <c r="S484" s="48"/>
      <c r="T484" s="48"/>
      <c r="U484" s="48"/>
      <c r="V484" s="48"/>
    </row>
    <row r="485" spans="2:22" ht="27" customHeight="1" thickBot="1" x14ac:dyDescent="0.3">
      <c r="B485" s="1204" t="s">
        <v>172</v>
      </c>
      <c r="C485" s="1192" t="s">
        <v>291</v>
      </c>
      <c r="D485" s="682">
        <v>27301829</v>
      </c>
      <c r="E485" s="1199" t="s">
        <v>525</v>
      </c>
      <c r="F485" s="1201" t="s">
        <v>834</v>
      </c>
      <c r="G485" s="1201" t="s">
        <v>835</v>
      </c>
      <c r="H485" s="1209" t="s">
        <v>240</v>
      </c>
      <c r="I485" s="1199">
        <v>2</v>
      </c>
      <c r="J485" s="1204" t="s">
        <v>462</v>
      </c>
      <c r="K485" s="1199" t="s">
        <v>199</v>
      </c>
      <c r="L485" s="1199" t="s">
        <v>199</v>
      </c>
      <c r="M485" s="672" t="s">
        <v>122</v>
      </c>
      <c r="N485" s="550"/>
      <c r="O485" s="561">
        <f>O486+O487</f>
        <v>0</v>
      </c>
      <c r="P485" s="561">
        <f>P486+P487</f>
        <v>0</v>
      </c>
      <c r="Q485" s="562">
        <f>Q486+Q487</f>
        <v>0</v>
      </c>
      <c r="R485" s="48"/>
      <c r="S485" s="48"/>
      <c r="T485" s="48"/>
      <c r="U485" s="48"/>
      <c r="V485" s="48"/>
    </row>
    <row r="486" spans="2:22" ht="19.5" customHeight="1" thickBot="1" x14ac:dyDescent="0.3">
      <c r="B486" s="1204"/>
      <c r="C486" s="1192"/>
      <c r="D486" s="555"/>
      <c r="E486" s="1199"/>
      <c r="F486" s="1201"/>
      <c r="G486" s="1201"/>
      <c r="H486" s="1209"/>
      <c r="I486" s="1199"/>
      <c r="J486" s="1204"/>
      <c r="K486" s="1199"/>
      <c r="L486" s="1199"/>
      <c r="M486" s="636" t="s">
        <v>123</v>
      </c>
      <c r="N486" s="549"/>
      <c r="O486" s="551">
        <v>0</v>
      </c>
      <c r="P486" s="551">
        <v>0</v>
      </c>
      <c r="Q486" s="552">
        <v>0</v>
      </c>
      <c r="R486" s="48"/>
      <c r="S486" s="48"/>
      <c r="T486" s="48"/>
      <c r="U486" s="48"/>
      <c r="V486" s="48"/>
    </row>
    <row r="487" spans="2:22" ht="22.5" customHeight="1" thickBot="1" x14ac:dyDescent="0.3">
      <c r="B487" s="1204"/>
      <c r="C487" s="1192"/>
      <c r="D487" s="555"/>
      <c r="E487" s="1199"/>
      <c r="F487" s="1201"/>
      <c r="G487" s="1201"/>
      <c r="H487" s="1209"/>
      <c r="I487" s="1199"/>
      <c r="J487" s="1204"/>
      <c r="K487" s="1199"/>
      <c r="L487" s="1199"/>
      <c r="M487" s="672" t="s">
        <v>124</v>
      </c>
      <c r="N487" s="550"/>
      <c r="O487" s="544">
        <v>0</v>
      </c>
      <c r="P487" s="544">
        <v>0</v>
      </c>
      <c r="Q487" s="675">
        <v>0</v>
      </c>
      <c r="R487" s="48"/>
      <c r="S487" s="48"/>
      <c r="T487" s="48"/>
      <c r="U487" s="48"/>
      <c r="V487" s="48"/>
    </row>
    <row r="488" spans="2:22" ht="22.5" customHeight="1" thickBot="1" x14ac:dyDescent="0.3">
      <c r="B488" s="1204"/>
      <c r="C488" s="1192"/>
      <c r="D488" s="680"/>
      <c r="E488" s="1199"/>
      <c r="F488" s="1201"/>
      <c r="G488" s="1201"/>
      <c r="H488" s="1209"/>
      <c r="I488" s="1199"/>
      <c r="J488" s="1204"/>
      <c r="K488" s="1199"/>
      <c r="L488" s="1199"/>
      <c r="M488" s="671" t="s">
        <v>745</v>
      </c>
      <c r="N488" s="543"/>
      <c r="O488" s="544">
        <v>102.9</v>
      </c>
      <c r="P488" s="544">
        <v>0</v>
      </c>
      <c r="Q488" s="675">
        <v>0</v>
      </c>
      <c r="R488" s="48"/>
      <c r="S488" s="48"/>
      <c r="T488" s="48"/>
      <c r="U488" s="48"/>
      <c r="V488" s="48"/>
    </row>
    <row r="489" spans="2:22" ht="22.5" customHeight="1" thickBot="1" x14ac:dyDescent="0.3">
      <c r="B489" s="1206" t="s">
        <v>172</v>
      </c>
      <c r="C489" s="1215" t="s">
        <v>291</v>
      </c>
      <c r="D489" s="654">
        <v>27301829</v>
      </c>
      <c r="E489" s="1207" t="s">
        <v>525</v>
      </c>
      <c r="F489" s="1200" t="s">
        <v>836</v>
      </c>
      <c r="G489" s="1200" t="s">
        <v>190</v>
      </c>
      <c r="H489" s="1232" t="s">
        <v>240</v>
      </c>
      <c r="I489" s="1207">
        <v>1</v>
      </c>
      <c r="J489" s="1206" t="s">
        <v>462</v>
      </c>
      <c r="K489" s="1207" t="s">
        <v>199</v>
      </c>
      <c r="L489" s="1207" t="s">
        <v>199</v>
      </c>
      <c r="M489" s="542" t="s">
        <v>122</v>
      </c>
      <c r="N489" s="543"/>
      <c r="O489" s="544">
        <f>O490+O491</f>
        <v>4130.5839999999998</v>
      </c>
      <c r="P489" s="544">
        <f>P490+P491</f>
        <v>0</v>
      </c>
      <c r="Q489" s="675">
        <f>Q490+Q491</f>
        <v>0</v>
      </c>
      <c r="R489" s="48"/>
      <c r="S489" s="48"/>
      <c r="T489" s="48"/>
      <c r="U489" s="48"/>
      <c r="V489" s="48"/>
    </row>
    <row r="490" spans="2:22" ht="22.5" customHeight="1" thickBot="1" x14ac:dyDescent="0.3">
      <c r="B490" s="1204"/>
      <c r="C490" s="1192"/>
      <c r="D490" s="555"/>
      <c r="E490" s="1199"/>
      <c r="F490" s="1201"/>
      <c r="G490" s="1201"/>
      <c r="H490" s="1209"/>
      <c r="I490" s="1199"/>
      <c r="J490" s="1204"/>
      <c r="K490" s="1199"/>
      <c r="L490" s="1199"/>
      <c r="M490" s="636" t="s">
        <v>123</v>
      </c>
      <c r="N490" s="549"/>
      <c r="O490" s="551">
        <v>0</v>
      </c>
      <c r="P490" s="551">
        <v>0</v>
      </c>
      <c r="Q490" s="552">
        <v>0</v>
      </c>
      <c r="R490" s="48"/>
      <c r="S490" s="48"/>
      <c r="T490" s="48"/>
      <c r="U490" s="48"/>
      <c r="V490" s="48"/>
    </row>
    <row r="491" spans="2:22" ht="22.5" customHeight="1" thickBot="1" x14ac:dyDescent="0.3">
      <c r="B491" s="1204"/>
      <c r="C491" s="1192"/>
      <c r="D491" s="555"/>
      <c r="E491" s="1199"/>
      <c r="F491" s="1201"/>
      <c r="G491" s="1201"/>
      <c r="H491" s="1209"/>
      <c r="I491" s="1199"/>
      <c r="J491" s="1204"/>
      <c r="K491" s="1199"/>
      <c r="L491" s="1199"/>
      <c r="M491" s="672" t="s">
        <v>124</v>
      </c>
      <c r="N491" s="550"/>
      <c r="O491" s="544">
        <f>3930.584+200</f>
        <v>4130.5839999999998</v>
      </c>
      <c r="P491" s="544">
        <v>0</v>
      </c>
      <c r="Q491" s="675">
        <v>0</v>
      </c>
      <c r="R491" s="48">
        <v>4130.5839999999998</v>
      </c>
      <c r="S491" s="707">
        <f>R491-O491</f>
        <v>0</v>
      </c>
      <c r="T491" s="48"/>
      <c r="U491" s="48"/>
      <c r="V491" s="48"/>
    </row>
    <row r="492" spans="2:22" ht="22.5" customHeight="1" thickBot="1" x14ac:dyDescent="0.3">
      <c r="B492" s="1205"/>
      <c r="C492" s="1216"/>
      <c r="D492" s="558"/>
      <c r="E492" s="1208"/>
      <c r="F492" s="1202"/>
      <c r="G492" s="1202"/>
      <c r="H492" s="1210"/>
      <c r="I492" s="1208"/>
      <c r="J492" s="1205"/>
      <c r="K492" s="1208"/>
      <c r="L492" s="1208"/>
      <c r="M492" s="547" t="s">
        <v>745</v>
      </c>
      <c r="N492" s="549"/>
      <c r="O492" s="551">
        <v>0</v>
      </c>
      <c r="P492" s="551">
        <v>0</v>
      </c>
      <c r="Q492" s="552">
        <v>0</v>
      </c>
      <c r="R492" s="48"/>
      <c r="S492" s="48"/>
      <c r="T492" s="48"/>
      <c r="U492" s="48"/>
      <c r="V492" s="48"/>
    </row>
    <row r="493" spans="2:22" ht="22.5" customHeight="1" thickBot="1" x14ac:dyDescent="0.3">
      <c r="B493" s="1204" t="s">
        <v>172</v>
      </c>
      <c r="C493" s="1192" t="s">
        <v>291</v>
      </c>
      <c r="D493" s="682" t="s">
        <v>450</v>
      </c>
      <c r="E493" s="1199" t="s">
        <v>449</v>
      </c>
      <c r="F493" s="1201" t="s">
        <v>838</v>
      </c>
      <c r="G493" s="1201" t="s">
        <v>190</v>
      </c>
      <c r="H493" s="1209" t="s">
        <v>240</v>
      </c>
      <c r="I493" s="1199" t="s">
        <v>199</v>
      </c>
      <c r="J493" s="1204" t="s">
        <v>528</v>
      </c>
      <c r="K493" s="1199" t="s">
        <v>199</v>
      </c>
      <c r="L493" s="1199" t="s">
        <v>199</v>
      </c>
      <c r="M493" s="672" t="s">
        <v>122</v>
      </c>
      <c r="N493" s="550"/>
      <c r="O493" s="561">
        <f>O494+O495</f>
        <v>0</v>
      </c>
      <c r="P493" s="561">
        <f>P494+P495</f>
        <v>3447</v>
      </c>
      <c r="Q493" s="562">
        <f>Q494+Q495</f>
        <v>0</v>
      </c>
      <c r="R493" s="48"/>
      <c r="S493" s="48"/>
      <c r="T493" s="48"/>
      <c r="U493" s="48"/>
      <c r="V493" s="48"/>
    </row>
    <row r="494" spans="2:22" ht="22.5" customHeight="1" thickBot="1" x14ac:dyDescent="0.3">
      <c r="B494" s="1204"/>
      <c r="C494" s="1192"/>
      <c r="D494" s="555"/>
      <c r="E494" s="1199"/>
      <c r="F494" s="1201"/>
      <c r="G494" s="1201"/>
      <c r="H494" s="1209"/>
      <c r="I494" s="1199"/>
      <c r="J494" s="1204"/>
      <c r="K494" s="1199"/>
      <c r="L494" s="1199"/>
      <c r="M494" s="636" t="s">
        <v>123</v>
      </c>
      <c r="N494" s="549"/>
      <c r="O494" s="544">
        <v>0</v>
      </c>
      <c r="P494" s="544">
        <v>0</v>
      </c>
      <c r="Q494" s="675">
        <v>0</v>
      </c>
      <c r="R494" s="48"/>
      <c r="S494" s="48"/>
      <c r="T494" s="48"/>
      <c r="U494" s="48"/>
      <c r="V494" s="48"/>
    </row>
    <row r="495" spans="2:22" ht="22.5" customHeight="1" thickBot="1" x14ac:dyDescent="0.3">
      <c r="B495" s="1204"/>
      <c r="C495" s="1192"/>
      <c r="D495" s="555"/>
      <c r="E495" s="1199"/>
      <c r="F495" s="1201"/>
      <c r="G495" s="1201"/>
      <c r="H495" s="1209"/>
      <c r="I495" s="1199"/>
      <c r="J495" s="1204"/>
      <c r="K495" s="1199"/>
      <c r="L495" s="1199"/>
      <c r="M495" s="672" t="s">
        <v>124</v>
      </c>
      <c r="N495" s="550"/>
      <c r="O495" s="544">
        <v>0</v>
      </c>
      <c r="P495" s="544">
        <v>3447</v>
      </c>
      <c r="Q495" s="675">
        <v>0</v>
      </c>
      <c r="R495" s="48"/>
      <c r="S495" s="48"/>
      <c r="T495" s="48"/>
      <c r="U495" s="48"/>
      <c r="V495" s="48"/>
    </row>
    <row r="496" spans="2:22" ht="22.5" customHeight="1" thickBot="1" x14ac:dyDescent="0.3">
      <c r="B496" s="1204"/>
      <c r="C496" s="1192"/>
      <c r="D496" s="680"/>
      <c r="E496" s="1199"/>
      <c r="F496" s="1201"/>
      <c r="G496" s="1201"/>
      <c r="H496" s="1209"/>
      <c r="I496" s="1199"/>
      <c r="J496" s="1204"/>
      <c r="K496" s="1199"/>
      <c r="L496" s="1199"/>
      <c r="M496" s="671" t="s">
        <v>745</v>
      </c>
      <c r="N496" s="543"/>
      <c r="O496" s="544">
        <v>0</v>
      </c>
      <c r="P496" s="544">
        <v>0</v>
      </c>
      <c r="Q496" s="675">
        <v>0</v>
      </c>
      <c r="R496" s="48"/>
      <c r="S496" s="48"/>
      <c r="T496" s="48"/>
      <c r="U496" s="48"/>
      <c r="V496" s="48"/>
    </row>
    <row r="497" spans="2:17" s="48" customFormat="1" ht="22.5" customHeight="1" thickBot="1" x14ac:dyDescent="0.3">
      <c r="B497" s="1206" t="s">
        <v>172</v>
      </c>
      <c r="C497" s="1215" t="s">
        <v>291</v>
      </c>
      <c r="D497" s="654">
        <v>27301829</v>
      </c>
      <c r="E497" s="1207" t="s">
        <v>419</v>
      </c>
      <c r="F497" s="1200" t="s">
        <v>860</v>
      </c>
      <c r="G497" s="1200" t="s">
        <v>190</v>
      </c>
      <c r="H497" s="1232" t="s">
        <v>240</v>
      </c>
      <c r="I497" s="1207" t="s">
        <v>199</v>
      </c>
      <c r="J497" s="1206" t="s">
        <v>528</v>
      </c>
      <c r="K497" s="1207">
        <v>1</v>
      </c>
      <c r="L497" s="1207" t="s">
        <v>199</v>
      </c>
      <c r="M497" s="542" t="s">
        <v>122</v>
      </c>
      <c r="N497" s="543"/>
      <c r="O497" s="544">
        <f>O498+O499</f>
        <v>0</v>
      </c>
      <c r="P497" s="544">
        <f>P498+P499</f>
        <v>5500</v>
      </c>
      <c r="Q497" s="675">
        <f>Q498+Q499</f>
        <v>0</v>
      </c>
    </row>
    <row r="498" spans="2:17" s="48" customFormat="1" ht="22.5" customHeight="1" thickBot="1" x14ac:dyDescent="0.3">
      <c r="B498" s="1204"/>
      <c r="C498" s="1192"/>
      <c r="D498" s="555"/>
      <c r="E498" s="1199"/>
      <c r="F498" s="1201"/>
      <c r="G498" s="1201"/>
      <c r="H498" s="1209"/>
      <c r="I498" s="1199"/>
      <c r="J498" s="1204"/>
      <c r="K498" s="1199"/>
      <c r="L498" s="1199"/>
      <c r="M498" s="636" t="s">
        <v>123</v>
      </c>
      <c r="N498" s="549"/>
      <c r="O498" s="551">
        <v>0</v>
      </c>
      <c r="P498" s="551">
        <v>0</v>
      </c>
      <c r="Q498" s="552">
        <v>0</v>
      </c>
    </row>
    <row r="499" spans="2:17" s="48" customFormat="1" ht="22.5" customHeight="1" thickBot="1" x14ac:dyDescent="0.3">
      <c r="B499" s="1204"/>
      <c r="C499" s="1192"/>
      <c r="D499" s="555"/>
      <c r="E499" s="1199"/>
      <c r="F499" s="1201"/>
      <c r="G499" s="1201"/>
      <c r="H499" s="1209"/>
      <c r="I499" s="1199"/>
      <c r="J499" s="1204"/>
      <c r="K499" s="1199"/>
      <c r="L499" s="1199"/>
      <c r="M499" s="672" t="s">
        <v>124</v>
      </c>
      <c r="N499" s="550"/>
      <c r="O499" s="544">
        <v>0</v>
      </c>
      <c r="P499" s="544">
        <v>5500</v>
      </c>
      <c r="Q499" s="675">
        <v>0</v>
      </c>
    </row>
    <row r="500" spans="2:17" s="48" customFormat="1" ht="22.5" customHeight="1" thickBot="1" x14ac:dyDescent="0.3">
      <c r="B500" s="1205"/>
      <c r="C500" s="1216"/>
      <c r="D500" s="558"/>
      <c r="E500" s="1208"/>
      <c r="F500" s="1202"/>
      <c r="G500" s="1202"/>
      <c r="H500" s="1210"/>
      <c r="I500" s="1208"/>
      <c r="J500" s="1205"/>
      <c r="K500" s="1208"/>
      <c r="L500" s="1208"/>
      <c r="M500" s="547" t="s">
        <v>745</v>
      </c>
      <c r="N500" s="549"/>
      <c r="O500" s="551">
        <v>0</v>
      </c>
      <c r="P500" s="551">
        <v>0</v>
      </c>
      <c r="Q500" s="552">
        <v>0</v>
      </c>
    </row>
    <row r="501" spans="2:17" s="48" customFormat="1" ht="22.5" customHeight="1" thickBot="1" x14ac:dyDescent="0.3">
      <c r="B501" s="1204" t="s">
        <v>172</v>
      </c>
      <c r="C501" s="1192" t="s">
        <v>291</v>
      </c>
      <c r="D501" s="682">
        <v>27301829</v>
      </c>
      <c r="E501" s="1199" t="s">
        <v>385</v>
      </c>
      <c r="F501" s="1201" t="s">
        <v>861</v>
      </c>
      <c r="G501" s="1201" t="s">
        <v>190</v>
      </c>
      <c r="H501" s="1209" t="s">
        <v>240</v>
      </c>
      <c r="I501" s="1199" t="s">
        <v>199</v>
      </c>
      <c r="J501" s="1204" t="s">
        <v>528</v>
      </c>
      <c r="K501" s="1199">
        <v>1</v>
      </c>
      <c r="L501" s="1199" t="s">
        <v>199</v>
      </c>
      <c r="M501" s="672" t="s">
        <v>122</v>
      </c>
      <c r="N501" s="550"/>
      <c r="O501" s="561">
        <f>O502+O503</f>
        <v>0</v>
      </c>
      <c r="P501" s="561">
        <f>P502+P503</f>
        <v>765</v>
      </c>
      <c r="Q501" s="562">
        <f>Q502+Q503</f>
        <v>0</v>
      </c>
    </row>
    <row r="502" spans="2:17" s="48" customFormat="1" ht="22.5" customHeight="1" thickBot="1" x14ac:dyDescent="0.3">
      <c r="B502" s="1204"/>
      <c r="C502" s="1192"/>
      <c r="D502" s="555"/>
      <c r="E502" s="1199"/>
      <c r="F502" s="1201"/>
      <c r="G502" s="1201"/>
      <c r="H502" s="1209"/>
      <c r="I502" s="1199"/>
      <c r="J502" s="1204"/>
      <c r="K502" s="1199"/>
      <c r="L502" s="1199"/>
      <c r="M502" s="636" t="s">
        <v>123</v>
      </c>
      <c r="N502" s="549"/>
      <c r="O502" s="551">
        <v>0</v>
      </c>
      <c r="P502" s="551">
        <v>0</v>
      </c>
      <c r="Q502" s="552">
        <v>0</v>
      </c>
    </row>
    <row r="503" spans="2:17" s="48" customFormat="1" ht="22.5" customHeight="1" thickBot="1" x14ac:dyDescent="0.3">
      <c r="B503" s="1204"/>
      <c r="C503" s="1192"/>
      <c r="D503" s="555"/>
      <c r="E503" s="1199"/>
      <c r="F503" s="1201"/>
      <c r="G503" s="1201"/>
      <c r="H503" s="1209"/>
      <c r="I503" s="1199"/>
      <c r="J503" s="1204"/>
      <c r="K503" s="1199"/>
      <c r="L503" s="1199"/>
      <c r="M503" s="672" t="s">
        <v>124</v>
      </c>
      <c r="N503" s="550"/>
      <c r="O503" s="544">
        <v>0</v>
      </c>
      <c r="P503" s="544">
        <v>765</v>
      </c>
      <c r="Q503" s="675">
        <v>0</v>
      </c>
    </row>
    <row r="504" spans="2:17" s="48" customFormat="1" ht="22.5" customHeight="1" thickBot="1" x14ac:dyDescent="0.3">
      <c r="B504" s="1204"/>
      <c r="C504" s="1192"/>
      <c r="D504" s="680"/>
      <c r="E504" s="1199"/>
      <c r="F504" s="1201"/>
      <c r="G504" s="1201"/>
      <c r="H504" s="1209"/>
      <c r="I504" s="1199"/>
      <c r="J504" s="1204"/>
      <c r="K504" s="1199"/>
      <c r="L504" s="1199"/>
      <c r="M504" s="671" t="s">
        <v>745</v>
      </c>
      <c r="N504" s="543"/>
      <c r="O504" s="544">
        <v>0</v>
      </c>
      <c r="P504" s="544">
        <v>0</v>
      </c>
      <c r="Q504" s="675">
        <v>0</v>
      </c>
    </row>
    <row r="505" spans="2:17" s="48" customFormat="1" ht="22.5" customHeight="1" thickBot="1" x14ac:dyDescent="0.3">
      <c r="B505" s="1206" t="s">
        <v>172</v>
      </c>
      <c r="C505" s="1215" t="s">
        <v>291</v>
      </c>
      <c r="D505" s="654">
        <v>27301829</v>
      </c>
      <c r="E505" s="1207" t="s">
        <v>385</v>
      </c>
      <c r="F505" s="1200" t="s">
        <v>862</v>
      </c>
      <c r="G505" s="1200" t="s">
        <v>190</v>
      </c>
      <c r="H505" s="1232" t="s">
        <v>240</v>
      </c>
      <c r="I505" s="1207" t="s">
        <v>199</v>
      </c>
      <c r="J505" s="1206" t="s">
        <v>528</v>
      </c>
      <c r="K505" s="1207">
        <v>1</v>
      </c>
      <c r="L505" s="1207" t="s">
        <v>199</v>
      </c>
      <c r="M505" s="542" t="s">
        <v>122</v>
      </c>
      <c r="N505" s="543"/>
      <c r="O505" s="544">
        <f>O506+O507</f>
        <v>0</v>
      </c>
      <c r="P505" s="544">
        <f>P506+P507</f>
        <v>500</v>
      </c>
      <c r="Q505" s="675">
        <f>Q506+Q507</f>
        <v>0</v>
      </c>
    </row>
    <row r="506" spans="2:17" s="48" customFormat="1" ht="22.5" customHeight="1" thickBot="1" x14ac:dyDescent="0.3">
      <c r="B506" s="1204"/>
      <c r="C506" s="1192"/>
      <c r="D506" s="555"/>
      <c r="E506" s="1199"/>
      <c r="F506" s="1201"/>
      <c r="G506" s="1201"/>
      <c r="H506" s="1209"/>
      <c r="I506" s="1199"/>
      <c r="J506" s="1204"/>
      <c r="K506" s="1199"/>
      <c r="L506" s="1199"/>
      <c r="M506" s="636" t="s">
        <v>123</v>
      </c>
      <c r="N506" s="549"/>
      <c r="O506" s="551">
        <v>0</v>
      </c>
      <c r="P506" s="551">
        <v>0</v>
      </c>
      <c r="Q506" s="552">
        <v>0</v>
      </c>
    </row>
    <row r="507" spans="2:17" s="48" customFormat="1" ht="22.5" customHeight="1" thickBot="1" x14ac:dyDescent="0.3">
      <c r="B507" s="1204"/>
      <c r="C507" s="1192"/>
      <c r="D507" s="555"/>
      <c r="E507" s="1199"/>
      <c r="F507" s="1201"/>
      <c r="G507" s="1201"/>
      <c r="H507" s="1209"/>
      <c r="I507" s="1199"/>
      <c r="J507" s="1204"/>
      <c r="K507" s="1199"/>
      <c r="L507" s="1199"/>
      <c r="M507" s="672" t="s">
        <v>124</v>
      </c>
      <c r="N507" s="550"/>
      <c r="O507" s="544">
        <v>0</v>
      </c>
      <c r="P507" s="544">
        <v>500</v>
      </c>
      <c r="Q507" s="675">
        <v>0</v>
      </c>
    </row>
    <row r="508" spans="2:17" s="48" customFormat="1" ht="22.5" customHeight="1" thickBot="1" x14ac:dyDescent="0.3">
      <c r="B508" s="1205"/>
      <c r="C508" s="1216"/>
      <c r="D508" s="558"/>
      <c r="E508" s="1208"/>
      <c r="F508" s="1202"/>
      <c r="G508" s="1202"/>
      <c r="H508" s="1210"/>
      <c r="I508" s="1208"/>
      <c r="J508" s="1205"/>
      <c r="K508" s="1208"/>
      <c r="L508" s="1208"/>
      <c r="M508" s="547" t="s">
        <v>745</v>
      </c>
      <c r="N508" s="549"/>
      <c r="O508" s="551">
        <v>0</v>
      </c>
      <c r="P508" s="551">
        <v>0</v>
      </c>
      <c r="Q508" s="552">
        <v>0</v>
      </c>
    </row>
    <row r="509" spans="2:17" s="48" customFormat="1" ht="22.5" customHeight="1" thickBot="1" x14ac:dyDescent="0.3">
      <c r="B509" s="1204" t="s">
        <v>172</v>
      </c>
      <c r="C509" s="1192" t="s">
        <v>291</v>
      </c>
      <c r="D509" s="682" t="s">
        <v>450</v>
      </c>
      <c r="E509" s="1199" t="s">
        <v>449</v>
      </c>
      <c r="F509" s="1201" t="s">
        <v>839</v>
      </c>
      <c r="G509" s="1201" t="s">
        <v>190</v>
      </c>
      <c r="H509" s="1209" t="s">
        <v>240</v>
      </c>
      <c r="I509" s="1199" t="s">
        <v>199</v>
      </c>
      <c r="J509" s="1204" t="s">
        <v>528</v>
      </c>
      <c r="K509" s="1199" t="s">
        <v>199</v>
      </c>
      <c r="L509" s="1199" t="s">
        <v>199</v>
      </c>
      <c r="M509" s="672" t="s">
        <v>122</v>
      </c>
      <c r="N509" s="550"/>
      <c r="O509" s="561">
        <f>O510+O511</f>
        <v>0</v>
      </c>
      <c r="P509" s="561">
        <f>P510+P511</f>
        <v>0</v>
      </c>
      <c r="Q509" s="562">
        <f>Q510+Q511</f>
        <v>3450</v>
      </c>
    </row>
    <row r="510" spans="2:17" s="48" customFormat="1" ht="22.5" customHeight="1" thickBot="1" x14ac:dyDescent="0.3">
      <c r="B510" s="1204"/>
      <c r="C510" s="1192"/>
      <c r="D510" s="555"/>
      <c r="E510" s="1199"/>
      <c r="F510" s="1201"/>
      <c r="G510" s="1201"/>
      <c r="H510" s="1209"/>
      <c r="I510" s="1199"/>
      <c r="J510" s="1204"/>
      <c r="K510" s="1199"/>
      <c r="L510" s="1199"/>
      <c r="M510" s="636" t="s">
        <v>123</v>
      </c>
      <c r="N510" s="549"/>
      <c r="O510" s="544">
        <v>0</v>
      </c>
      <c r="P510" s="544">
        <v>0</v>
      </c>
      <c r="Q510" s="675">
        <v>0</v>
      </c>
    </row>
    <row r="511" spans="2:17" s="48" customFormat="1" ht="22.5" customHeight="1" thickBot="1" x14ac:dyDescent="0.3">
      <c r="B511" s="1204"/>
      <c r="C511" s="1192"/>
      <c r="D511" s="555"/>
      <c r="E511" s="1199"/>
      <c r="F511" s="1201"/>
      <c r="G511" s="1201"/>
      <c r="H511" s="1209"/>
      <c r="I511" s="1199"/>
      <c r="J511" s="1204"/>
      <c r="K511" s="1199"/>
      <c r="L511" s="1199"/>
      <c r="M511" s="672" t="s">
        <v>124</v>
      </c>
      <c r="N511" s="550"/>
      <c r="O511" s="544">
        <v>0</v>
      </c>
      <c r="P511" s="544">
        <v>0</v>
      </c>
      <c r="Q511" s="675">
        <v>3450</v>
      </c>
    </row>
    <row r="512" spans="2:17" s="48" customFormat="1" ht="22.5" customHeight="1" thickBot="1" x14ac:dyDescent="0.3">
      <c r="B512" s="1204"/>
      <c r="C512" s="1192"/>
      <c r="D512" s="680"/>
      <c r="E512" s="1199"/>
      <c r="F512" s="1201"/>
      <c r="G512" s="1201"/>
      <c r="H512" s="1209"/>
      <c r="I512" s="1199"/>
      <c r="J512" s="1204"/>
      <c r="K512" s="1199"/>
      <c r="L512" s="1199"/>
      <c r="M512" s="671" t="s">
        <v>745</v>
      </c>
      <c r="N512" s="543"/>
      <c r="O512" s="544">
        <v>0</v>
      </c>
      <c r="P512" s="544">
        <v>0</v>
      </c>
      <c r="Q512" s="675">
        <v>0</v>
      </c>
    </row>
    <row r="513" spans="2:22" ht="26.25" customHeight="1" thickBot="1" x14ac:dyDescent="0.3">
      <c r="B513" s="1206" t="s">
        <v>172</v>
      </c>
      <c r="C513" s="1215" t="s">
        <v>295</v>
      </c>
      <c r="D513" s="620" t="s">
        <v>116</v>
      </c>
      <c r="E513" s="1207" t="s">
        <v>116</v>
      </c>
      <c r="F513" s="1200" t="s">
        <v>280</v>
      </c>
      <c r="G513" s="1207" t="s">
        <v>116</v>
      </c>
      <c r="H513" s="1207" t="s">
        <v>116</v>
      </c>
      <c r="I513" s="1207" t="s">
        <v>116</v>
      </c>
      <c r="J513" s="1206" t="s">
        <v>116</v>
      </c>
      <c r="K513" s="1207" t="s">
        <v>199</v>
      </c>
      <c r="L513" s="1207" t="s">
        <v>199</v>
      </c>
      <c r="M513" s="542" t="s">
        <v>122</v>
      </c>
      <c r="N513" s="543"/>
      <c r="O513" s="544">
        <f t="shared" ref="O513:Q516" si="13">O517+O521+O525+O529</f>
        <v>0</v>
      </c>
      <c r="P513" s="544">
        <f t="shared" si="13"/>
        <v>1489.45</v>
      </c>
      <c r="Q513" s="675">
        <f t="shared" si="13"/>
        <v>0</v>
      </c>
      <c r="R513" s="48"/>
      <c r="S513" s="48"/>
      <c r="T513" s="48"/>
      <c r="U513" s="48"/>
      <c r="V513" s="48"/>
    </row>
    <row r="514" spans="2:22" ht="23.25" customHeight="1" thickBot="1" x14ac:dyDescent="0.3">
      <c r="B514" s="1204"/>
      <c r="C514" s="1192"/>
      <c r="D514" s="555"/>
      <c r="E514" s="1199"/>
      <c r="F514" s="1201"/>
      <c r="G514" s="1199"/>
      <c r="H514" s="1199"/>
      <c r="I514" s="1199"/>
      <c r="J514" s="1204"/>
      <c r="K514" s="1199"/>
      <c r="L514" s="1199"/>
      <c r="M514" s="636" t="s">
        <v>123</v>
      </c>
      <c r="N514" s="549"/>
      <c r="O514" s="544">
        <f t="shared" si="13"/>
        <v>0</v>
      </c>
      <c r="P514" s="544">
        <f t="shared" si="13"/>
        <v>0</v>
      </c>
      <c r="Q514" s="675">
        <f t="shared" si="13"/>
        <v>0</v>
      </c>
      <c r="R514" s="48"/>
      <c r="S514" s="48"/>
      <c r="T514" s="48"/>
      <c r="U514" s="48"/>
      <c r="V514" s="48"/>
    </row>
    <row r="515" spans="2:22" ht="21.75" customHeight="1" thickBot="1" x14ac:dyDescent="0.3">
      <c r="B515" s="1204"/>
      <c r="C515" s="1192"/>
      <c r="D515" s="555"/>
      <c r="E515" s="1199"/>
      <c r="F515" s="1201"/>
      <c r="G515" s="1199"/>
      <c r="H515" s="1199"/>
      <c r="I515" s="1199"/>
      <c r="J515" s="1204"/>
      <c r="K515" s="1199"/>
      <c r="L515" s="1199"/>
      <c r="M515" s="672" t="s">
        <v>124</v>
      </c>
      <c r="N515" s="550"/>
      <c r="O515" s="544">
        <f t="shared" si="13"/>
        <v>0</v>
      </c>
      <c r="P515" s="544">
        <f t="shared" si="13"/>
        <v>1489.45</v>
      </c>
      <c r="Q515" s="675">
        <f t="shared" si="13"/>
        <v>0</v>
      </c>
      <c r="R515" s="48"/>
      <c r="S515" s="48"/>
      <c r="T515" s="48"/>
      <c r="U515" s="48"/>
      <c r="V515" s="48"/>
    </row>
    <row r="516" spans="2:22" ht="20.25" customHeight="1" thickBot="1" x14ac:dyDescent="0.3">
      <c r="B516" s="1205"/>
      <c r="C516" s="1216"/>
      <c r="D516" s="558"/>
      <c r="E516" s="1208"/>
      <c r="F516" s="1202"/>
      <c r="G516" s="1208"/>
      <c r="H516" s="1208"/>
      <c r="I516" s="1208"/>
      <c r="J516" s="1205"/>
      <c r="K516" s="1208"/>
      <c r="L516" s="1208"/>
      <c r="M516" s="547" t="s">
        <v>745</v>
      </c>
      <c r="N516" s="549"/>
      <c r="O516" s="551">
        <f t="shared" si="13"/>
        <v>19503.777999999998</v>
      </c>
      <c r="P516" s="551">
        <f t="shared" si="13"/>
        <v>0</v>
      </c>
      <c r="Q516" s="552">
        <f t="shared" si="13"/>
        <v>0</v>
      </c>
      <c r="R516" s="48"/>
      <c r="S516" s="48"/>
      <c r="T516" s="48"/>
      <c r="U516" s="48"/>
      <c r="V516" s="48"/>
    </row>
    <row r="517" spans="2:22" ht="71.25" customHeight="1" thickBot="1" x14ac:dyDescent="0.3">
      <c r="B517" s="1204" t="s">
        <v>172</v>
      </c>
      <c r="C517" s="1192" t="s">
        <v>295</v>
      </c>
      <c r="D517" s="682" t="s">
        <v>533</v>
      </c>
      <c r="E517" s="1199" t="s">
        <v>411</v>
      </c>
      <c r="F517" s="1201" t="s">
        <v>410</v>
      </c>
      <c r="G517" s="1201" t="s">
        <v>412</v>
      </c>
      <c r="H517" s="1199" t="s">
        <v>240</v>
      </c>
      <c r="I517" s="1199">
        <v>2</v>
      </c>
      <c r="J517" s="1204" t="s">
        <v>462</v>
      </c>
      <c r="K517" s="1199" t="s">
        <v>199</v>
      </c>
      <c r="L517" s="1199" t="s">
        <v>199</v>
      </c>
      <c r="M517" s="672" t="s">
        <v>122</v>
      </c>
      <c r="N517" s="550"/>
      <c r="O517" s="561">
        <f>O518+O519</f>
        <v>0</v>
      </c>
      <c r="P517" s="561">
        <f>P518+P519</f>
        <v>0</v>
      </c>
      <c r="Q517" s="562">
        <f>Q518+Q519</f>
        <v>0</v>
      </c>
      <c r="R517" s="48"/>
      <c r="S517" s="48"/>
      <c r="T517" s="48"/>
      <c r="U517" s="48"/>
      <c r="V517" s="48"/>
    </row>
    <row r="518" spans="2:22" ht="23.25" customHeight="1" thickBot="1" x14ac:dyDescent="0.3">
      <c r="B518" s="1204"/>
      <c r="C518" s="1192"/>
      <c r="D518" s="555"/>
      <c r="E518" s="1199"/>
      <c r="F518" s="1201"/>
      <c r="G518" s="1201"/>
      <c r="H518" s="1199"/>
      <c r="I518" s="1199"/>
      <c r="J518" s="1204"/>
      <c r="K518" s="1199"/>
      <c r="L518" s="1199"/>
      <c r="M518" s="636" t="s">
        <v>123</v>
      </c>
      <c r="N518" s="549"/>
      <c r="O518" s="544">
        <v>0</v>
      </c>
      <c r="P518" s="544">
        <v>0</v>
      </c>
      <c r="Q518" s="675">
        <v>0</v>
      </c>
      <c r="R518" s="48"/>
      <c r="S518" s="48"/>
      <c r="T518" s="48"/>
      <c r="U518" s="48"/>
      <c r="V518" s="48"/>
    </row>
    <row r="519" spans="2:22" ht="25.5" customHeight="1" thickBot="1" x14ac:dyDescent="0.3">
      <c r="B519" s="1204"/>
      <c r="C519" s="1192"/>
      <c r="D519" s="555"/>
      <c r="E519" s="1199"/>
      <c r="F519" s="1201"/>
      <c r="G519" s="1201"/>
      <c r="H519" s="1199"/>
      <c r="I519" s="1199"/>
      <c r="J519" s="1204"/>
      <c r="K519" s="1199"/>
      <c r="L519" s="1199"/>
      <c r="M519" s="672" t="s">
        <v>124</v>
      </c>
      <c r="N519" s="550"/>
      <c r="O519" s="544">
        <v>0</v>
      </c>
      <c r="P519" s="544">
        <v>0</v>
      </c>
      <c r="Q519" s="675">
        <v>0</v>
      </c>
      <c r="R519" s="48"/>
      <c r="S519" s="48"/>
      <c r="T519" s="48"/>
      <c r="U519" s="48"/>
      <c r="V519" s="48"/>
    </row>
    <row r="520" spans="2:22" ht="25.5" customHeight="1" thickBot="1" x14ac:dyDescent="0.3">
      <c r="B520" s="1204"/>
      <c r="C520" s="1192"/>
      <c r="D520" s="680"/>
      <c r="E520" s="1199"/>
      <c r="F520" s="1201"/>
      <c r="G520" s="1201"/>
      <c r="H520" s="1199"/>
      <c r="I520" s="1199"/>
      <c r="J520" s="1204"/>
      <c r="K520" s="1199"/>
      <c r="L520" s="1199"/>
      <c r="M520" s="671" t="s">
        <v>745</v>
      </c>
      <c r="N520" s="543"/>
      <c r="O520" s="544">
        <v>19224.477999999999</v>
      </c>
      <c r="P520" s="544">
        <v>0</v>
      </c>
      <c r="Q520" s="675">
        <v>0</v>
      </c>
      <c r="R520" s="48"/>
      <c r="S520" s="48"/>
      <c r="T520" s="48"/>
      <c r="U520" s="48"/>
      <c r="V520" s="48"/>
    </row>
    <row r="521" spans="2:22" ht="26.25" customHeight="1" thickBot="1" x14ac:dyDescent="0.3">
      <c r="B521" s="1206" t="s">
        <v>172</v>
      </c>
      <c r="C521" s="1215" t="s">
        <v>295</v>
      </c>
      <c r="D521" s="694">
        <v>27302165</v>
      </c>
      <c r="E521" s="1207" t="s">
        <v>422</v>
      </c>
      <c r="F521" s="1200" t="s">
        <v>765</v>
      </c>
      <c r="G521" s="1200" t="s">
        <v>764</v>
      </c>
      <c r="H521" s="1207" t="s">
        <v>240</v>
      </c>
      <c r="I521" s="1207">
        <v>1</v>
      </c>
      <c r="J521" s="1206" t="s">
        <v>462</v>
      </c>
      <c r="K521" s="1207" t="s">
        <v>199</v>
      </c>
      <c r="L521" s="1207" t="s">
        <v>199</v>
      </c>
      <c r="M521" s="542" t="s">
        <v>122</v>
      </c>
      <c r="N521" s="543"/>
      <c r="O521" s="544">
        <f>O522+O523</f>
        <v>0</v>
      </c>
      <c r="P521" s="544">
        <f>P522+P523</f>
        <v>0</v>
      </c>
      <c r="Q521" s="675">
        <f>Q522+Q523</f>
        <v>0</v>
      </c>
      <c r="R521" s="48"/>
      <c r="S521" s="48"/>
      <c r="T521" s="48"/>
      <c r="U521" s="48"/>
      <c r="V521" s="48"/>
    </row>
    <row r="522" spans="2:22" ht="23.25" customHeight="1" thickBot="1" x14ac:dyDescent="0.3">
      <c r="B522" s="1204"/>
      <c r="C522" s="1192"/>
      <c r="D522" s="680"/>
      <c r="E522" s="1199"/>
      <c r="F522" s="1201"/>
      <c r="G522" s="1201"/>
      <c r="H522" s="1199"/>
      <c r="I522" s="1199"/>
      <c r="J522" s="1204"/>
      <c r="K522" s="1199"/>
      <c r="L522" s="1199"/>
      <c r="M522" s="636" t="s">
        <v>123</v>
      </c>
      <c r="N522" s="549"/>
      <c r="O522" s="544">
        <v>0</v>
      </c>
      <c r="P522" s="544">
        <v>0</v>
      </c>
      <c r="Q522" s="675">
        <v>0</v>
      </c>
      <c r="R522" s="48"/>
      <c r="S522" s="48"/>
      <c r="T522" s="48"/>
      <c r="U522" s="48"/>
      <c r="V522" s="48"/>
    </row>
    <row r="523" spans="2:22" ht="25.5" customHeight="1" thickBot="1" x14ac:dyDescent="0.3">
      <c r="B523" s="1204"/>
      <c r="C523" s="1192"/>
      <c r="D523" s="680"/>
      <c r="E523" s="1199"/>
      <c r="F523" s="1201"/>
      <c r="G523" s="1201"/>
      <c r="H523" s="1199"/>
      <c r="I523" s="1199"/>
      <c r="J523" s="1204"/>
      <c r="K523" s="1199"/>
      <c r="L523" s="1199"/>
      <c r="M523" s="672" t="s">
        <v>124</v>
      </c>
      <c r="N523" s="550"/>
      <c r="O523" s="544">
        <v>0</v>
      </c>
      <c r="P523" s="544">
        <v>0</v>
      </c>
      <c r="Q523" s="675">
        <v>0</v>
      </c>
      <c r="R523" s="48"/>
      <c r="S523" s="48"/>
      <c r="T523" s="48"/>
      <c r="U523" s="48"/>
      <c r="V523" s="48"/>
    </row>
    <row r="524" spans="2:22" ht="28.5" customHeight="1" thickBot="1" x14ac:dyDescent="0.3">
      <c r="B524" s="1205"/>
      <c r="C524" s="1216"/>
      <c r="D524" s="558"/>
      <c r="E524" s="1208"/>
      <c r="F524" s="1202"/>
      <c r="G524" s="1202"/>
      <c r="H524" s="1208"/>
      <c r="I524" s="1208"/>
      <c r="J524" s="1205"/>
      <c r="K524" s="1208"/>
      <c r="L524" s="1208"/>
      <c r="M524" s="547" t="s">
        <v>745</v>
      </c>
      <c r="N524" s="549"/>
      <c r="O524" s="551">
        <v>279.3</v>
      </c>
      <c r="P524" s="551">
        <v>0</v>
      </c>
      <c r="Q524" s="552">
        <v>0</v>
      </c>
      <c r="R524" s="48"/>
      <c r="S524" s="48"/>
      <c r="T524" s="48"/>
      <c r="U524" s="48"/>
      <c r="V524" s="48"/>
    </row>
    <row r="525" spans="2:22" ht="31.5" customHeight="1" thickBot="1" x14ac:dyDescent="0.3">
      <c r="B525" s="1204" t="s">
        <v>172</v>
      </c>
      <c r="C525" s="1192" t="s">
        <v>295</v>
      </c>
      <c r="D525" s="673">
        <v>27302165</v>
      </c>
      <c r="E525" s="1199" t="s">
        <v>422</v>
      </c>
      <c r="F525" s="1201" t="s">
        <v>445</v>
      </c>
      <c r="G525" s="1201" t="s">
        <v>813</v>
      </c>
      <c r="H525" s="1209" t="s">
        <v>240</v>
      </c>
      <c r="I525" s="1199">
        <v>10</v>
      </c>
      <c r="J525" s="1204" t="s">
        <v>462</v>
      </c>
      <c r="K525" s="1199" t="s">
        <v>199</v>
      </c>
      <c r="L525" s="1199" t="s">
        <v>199</v>
      </c>
      <c r="M525" s="672" t="s">
        <v>122</v>
      </c>
      <c r="N525" s="550"/>
      <c r="O525" s="561">
        <f>O526+O527</f>
        <v>0</v>
      </c>
      <c r="P525" s="561">
        <f>P526+P527</f>
        <v>1239.45</v>
      </c>
      <c r="Q525" s="562">
        <f>Q526+Q527</f>
        <v>0</v>
      </c>
      <c r="R525" s="48"/>
      <c r="S525" s="48"/>
      <c r="T525" s="48"/>
      <c r="U525" s="48"/>
      <c r="V525" s="48"/>
    </row>
    <row r="526" spans="2:22" ht="27" customHeight="1" thickBot="1" x14ac:dyDescent="0.3">
      <c r="B526" s="1204"/>
      <c r="C526" s="1192"/>
      <c r="D526" s="680"/>
      <c r="E526" s="1199"/>
      <c r="F526" s="1201"/>
      <c r="G526" s="1201"/>
      <c r="H526" s="1209"/>
      <c r="I526" s="1199"/>
      <c r="J526" s="1204"/>
      <c r="K526" s="1199"/>
      <c r="L526" s="1199"/>
      <c r="M526" s="636" t="s">
        <v>123</v>
      </c>
      <c r="N526" s="549"/>
      <c r="O526" s="544">
        <v>0</v>
      </c>
      <c r="P526" s="544">
        <v>0</v>
      </c>
      <c r="Q526" s="675">
        <v>0</v>
      </c>
      <c r="R526" s="48"/>
      <c r="S526" s="48"/>
      <c r="T526" s="48"/>
      <c r="U526" s="48"/>
      <c r="V526" s="48"/>
    </row>
    <row r="527" spans="2:22" ht="28.5" customHeight="1" thickBot="1" x14ac:dyDescent="0.3">
      <c r="B527" s="1204"/>
      <c r="C527" s="1192"/>
      <c r="D527" s="680"/>
      <c r="E527" s="1199"/>
      <c r="F527" s="1201"/>
      <c r="G527" s="1201"/>
      <c r="H527" s="1209"/>
      <c r="I527" s="1199"/>
      <c r="J527" s="1204"/>
      <c r="K527" s="1199"/>
      <c r="L527" s="1199"/>
      <c r="M527" s="672" t="s">
        <v>124</v>
      </c>
      <c r="N527" s="550"/>
      <c r="O527" s="544">
        <v>0</v>
      </c>
      <c r="P527" s="544">
        <v>1239.45</v>
      </c>
      <c r="Q527" s="675">
        <v>0</v>
      </c>
      <c r="R527" s="48"/>
      <c r="S527" s="48"/>
      <c r="T527" s="48"/>
      <c r="U527" s="48"/>
      <c r="V527" s="48"/>
    </row>
    <row r="528" spans="2:22" ht="25.5" customHeight="1" thickBot="1" x14ac:dyDescent="0.3">
      <c r="B528" s="1204"/>
      <c r="C528" s="1192"/>
      <c r="D528" s="680"/>
      <c r="E528" s="1199"/>
      <c r="F528" s="1201"/>
      <c r="G528" s="1201"/>
      <c r="H528" s="1209"/>
      <c r="I528" s="1199"/>
      <c r="J528" s="1204"/>
      <c r="K528" s="1199"/>
      <c r="L528" s="1199"/>
      <c r="M528" s="671" t="s">
        <v>745</v>
      </c>
      <c r="N528" s="543"/>
      <c r="O528" s="544">
        <v>0</v>
      </c>
      <c r="P528" s="544">
        <v>0</v>
      </c>
      <c r="Q528" s="675">
        <v>0</v>
      </c>
      <c r="R528" s="48"/>
      <c r="S528" s="48"/>
      <c r="T528" s="48"/>
      <c r="U528" s="48"/>
      <c r="V528" s="48"/>
    </row>
    <row r="529" spans="2:22" ht="26.25" customHeight="1" thickBot="1" x14ac:dyDescent="0.3">
      <c r="B529" s="1206" t="s">
        <v>172</v>
      </c>
      <c r="C529" s="1215" t="s">
        <v>295</v>
      </c>
      <c r="D529" s="694">
        <v>27301829</v>
      </c>
      <c r="E529" s="1207" t="s">
        <v>426</v>
      </c>
      <c r="F529" s="1200" t="s">
        <v>445</v>
      </c>
      <c r="G529" s="1200" t="s">
        <v>813</v>
      </c>
      <c r="H529" s="1232" t="s">
        <v>240</v>
      </c>
      <c r="I529" s="1207">
        <v>3</v>
      </c>
      <c r="J529" s="1206" t="s">
        <v>462</v>
      </c>
      <c r="K529" s="1207" t="s">
        <v>199</v>
      </c>
      <c r="L529" s="1207" t="s">
        <v>199</v>
      </c>
      <c r="M529" s="542" t="s">
        <v>122</v>
      </c>
      <c r="N529" s="543"/>
      <c r="O529" s="544">
        <f>O530+O531</f>
        <v>0</v>
      </c>
      <c r="P529" s="544">
        <f>P530+P531</f>
        <v>250</v>
      </c>
      <c r="Q529" s="675">
        <f>Q530+Q531</f>
        <v>0</v>
      </c>
      <c r="R529" s="48"/>
      <c r="S529" s="48"/>
      <c r="T529" s="48"/>
      <c r="U529" s="48"/>
      <c r="V529" s="48"/>
    </row>
    <row r="530" spans="2:22" ht="24" customHeight="1" thickBot="1" x14ac:dyDescent="0.3">
      <c r="B530" s="1204"/>
      <c r="C530" s="1192"/>
      <c r="D530" s="680"/>
      <c r="E530" s="1199"/>
      <c r="F530" s="1201"/>
      <c r="G530" s="1201"/>
      <c r="H530" s="1209"/>
      <c r="I530" s="1199"/>
      <c r="J530" s="1204"/>
      <c r="K530" s="1199"/>
      <c r="L530" s="1199"/>
      <c r="M530" s="636" t="s">
        <v>123</v>
      </c>
      <c r="N530" s="549"/>
      <c r="O530" s="544">
        <v>0</v>
      </c>
      <c r="P530" s="544">
        <v>0</v>
      </c>
      <c r="Q530" s="675">
        <v>0</v>
      </c>
      <c r="R530" s="48"/>
      <c r="S530" s="48"/>
      <c r="T530" s="48"/>
      <c r="U530" s="48"/>
      <c r="V530" s="48"/>
    </row>
    <row r="531" spans="2:22" ht="24" customHeight="1" thickBot="1" x14ac:dyDescent="0.3">
      <c r="B531" s="1204"/>
      <c r="C531" s="1192"/>
      <c r="D531" s="680"/>
      <c r="E531" s="1199"/>
      <c r="F531" s="1201"/>
      <c r="G531" s="1201"/>
      <c r="H531" s="1209"/>
      <c r="I531" s="1199"/>
      <c r="J531" s="1204"/>
      <c r="K531" s="1199"/>
      <c r="L531" s="1199"/>
      <c r="M531" s="672" t="s">
        <v>124</v>
      </c>
      <c r="N531" s="550"/>
      <c r="O531" s="544">
        <v>0</v>
      </c>
      <c r="P531" s="544">
        <v>250</v>
      </c>
      <c r="Q531" s="675">
        <v>0</v>
      </c>
      <c r="R531" s="48"/>
      <c r="S531" s="48"/>
      <c r="T531" s="48"/>
      <c r="U531" s="48"/>
      <c r="V531" s="48"/>
    </row>
    <row r="532" spans="2:22" ht="25.5" customHeight="1" thickBot="1" x14ac:dyDescent="0.3">
      <c r="B532" s="1205"/>
      <c r="C532" s="1216"/>
      <c r="D532" s="558"/>
      <c r="E532" s="1208"/>
      <c r="F532" s="1202"/>
      <c r="G532" s="1202"/>
      <c r="H532" s="1210"/>
      <c r="I532" s="1208"/>
      <c r="J532" s="1205"/>
      <c r="K532" s="1208"/>
      <c r="L532" s="1208"/>
      <c r="M532" s="547" t="s">
        <v>745</v>
      </c>
      <c r="N532" s="549"/>
      <c r="O532" s="551">
        <v>0</v>
      </c>
      <c r="P532" s="551">
        <v>0</v>
      </c>
      <c r="Q532" s="552">
        <v>0</v>
      </c>
      <c r="R532" s="48"/>
      <c r="S532" s="48"/>
      <c r="T532" s="48"/>
      <c r="U532" s="48"/>
      <c r="V532" s="48"/>
    </row>
    <row r="533" spans="2:22" ht="36.75" customHeight="1" thickBot="1" x14ac:dyDescent="0.3">
      <c r="B533" s="1206" t="s">
        <v>173</v>
      </c>
      <c r="C533" s="1242">
        <v>40404</v>
      </c>
      <c r="D533" s="1207" t="s">
        <v>116</v>
      </c>
      <c r="E533" s="1207" t="s">
        <v>116</v>
      </c>
      <c r="F533" s="1229" t="s">
        <v>284</v>
      </c>
      <c r="G533" s="581" t="s">
        <v>221</v>
      </c>
      <c r="H533" s="654" t="s">
        <v>241</v>
      </c>
      <c r="I533" s="593" t="s">
        <v>806</v>
      </c>
      <c r="J533" s="1206" t="s">
        <v>462</v>
      </c>
      <c r="K533" s="593" t="s">
        <v>806</v>
      </c>
      <c r="L533" s="593" t="s">
        <v>806</v>
      </c>
      <c r="M533" s="542" t="s">
        <v>122</v>
      </c>
      <c r="N533" s="543"/>
      <c r="O533" s="544">
        <f t="shared" ref="O533:Q536" si="14">O538+O562+O571+O583+O619</f>
        <v>99605.504000000001</v>
      </c>
      <c r="P533" s="544">
        <f t="shared" si="14"/>
        <v>78739.774999999994</v>
      </c>
      <c r="Q533" s="675">
        <f t="shared" si="14"/>
        <v>81622.464999999997</v>
      </c>
      <c r="R533" s="48"/>
      <c r="S533" s="48"/>
      <c r="T533" s="48"/>
      <c r="U533" s="48"/>
      <c r="V533" s="48"/>
    </row>
    <row r="534" spans="2:22" ht="49.5" customHeight="1" thickBot="1" x14ac:dyDescent="0.3">
      <c r="B534" s="1204"/>
      <c r="C534" s="1243"/>
      <c r="D534" s="1199"/>
      <c r="E534" s="1199"/>
      <c r="F534" s="1230"/>
      <c r="G534" s="576" t="s">
        <v>256</v>
      </c>
      <c r="H534" s="555" t="s">
        <v>241</v>
      </c>
      <c r="I534" s="594">
        <v>15333</v>
      </c>
      <c r="J534" s="1204"/>
      <c r="K534" s="594">
        <v>15333</v>
      </c>
      <c r="L534" s="594">
        <v>15333</v>
      </c>
      <c r="M534" s="636" t="s">
        <v>123</v>
      </c>
      <c r="N534" s="549"/>
      <c r="O534" s="544">
        <f t="shared" si="14"/>
        <v>0</v>
      </c>
      <c r="P534" s="544">
        <f t="shared" si="14"/>
        <v>0</v>
      </c>
      <c r="Q534" s="675">
        <f t="shared" si="14"/>
        <v>0</v>
      </c>
      <c r="R534" s="48"/>
      <c r="S534" s="48"/>
      <c r="T534" s="48"/>
      <c r="U534" s="48"/>
      <c r="V534" s="48"/>
    </row>
    <row r="535" spans="2:22" ht="36.75" customHeight="1" thickBot="1" x14ac:dyDescent="0.3">
      <c r="B535" s="1204"/>
      <c r="C535" s="1243"/>
      <c r="D535" s="1199"/>
      <c r="E535" s="1199"/>
      <c r="F535" s="1230"/>
      <c r="G535" s="576" t="s">
        <v>257</v>
      </c>
      <c r="H535" s="555" t="s">
        <v>242</v>
      </c>
      <c r="I535" s="594" t="s">
        <v>607</v>
      </c>
      <c r="J535" s="1204"/>
      <c r="K535" s="594" t="s">
        <v>607</v>
      </c>
      <c r="L535" s="594" t="s">
        <v>607</v>
      </c>
      <c r="M535" s="672" t="s">
        <v>124</v>
      </c>
      <c r="N535" s="550"/>
      <c r="O535" s="544">
        <f t="shared" si="14"/>
        <v>99605.504000000001</v>
      </c>
      <c r="P535" s="544">
        <f t="shared" si="14"/>
        <v>78739.774999999994</v>
      </c>
      <c r="Q535" s="552">
        <f t="shared" si="14"/>
        <v>81622.464999999997</v>
      </c>
      <c r="R535" s="48"/>
      <c r="S535" s="48"/>
      <c r="T535" s="48"/>
      <c r="U535" s="48"/>
      <c r="V535" s="48"/>
    </row>
    <row r="536" spans="2:22" ht="42" customHeight="1" thickBot="1" x14ac:dyDescent="0.3">
      <c r="B536" s="1204"/>
      <c r="C536" s="1243"/>
      <c r="D536" s="1199"/>
      <c r="E536" s="1199"/>
      <c r="F536" s="1230"/>
      <c r="G536" s="576" t="s">
        <v>254</v>
      </c>
      <c r="H536" s="555" t="s">
        <v>240</v>
      </c>
      <c r="I536" s="594">
        <v>1</v>
      </c>
      <c r="J536" s="1204"/>
      <c r="K536" s="594">
        <v>1</v>
      </c>
      <c r="L536" s="594">
        <v>1</v>
      </c>
      <c r="M536" s="547" t="s">
        <v>745</v>
      </c>
      <c r="N536" s="549"/>
      <c r="O536" s="551">
        <f t="shared" si="14"/>
        <v>36553.392</v>
      </c>
      <c r="P536" s="551">
        <f t="shared" si="14"/>
        <v>0</v>
      </c>
      <c r="Q536" s="552">
        <f t="shared" si="14"/>
        <v>0</v>
      </c>
      <c r="R536" s="48"/>
      <c r="S536" s="48"/>
      <c r="T536" s="48"/>
      <c r="U536" s="48"/>
      <c r="V536" s="48"/>
    </row>
    <row r="537" spans="2:22" ht="64.5" customHeight="1" thickBot="1" x14ac:dyDescent="0.3">
      <c r="B537" s="1205"/>
      <c r="C537" s="1244"/>
      <c r="D537" s="1208"/>
      <c r="E537" s="1208"/>
      <c r="F537" s="1231"/>
      <c r="G537" s="591" t="s">
        <v>527</v>
      </c>
      <c r="H537" s="558" t="s">
        <v>240</v>
      </c>
      <c r="I537" s="592">
        <v>1</v>
      </c>
      <c r="J537" s="1205"/>
      <c r="K537" s="592">
        <v>1</v>
      </c>
      <c r="L537" s="592">
        <v>1</v>
      </c>
      <c r="M537" s="642"/>
      <c r="N537" s="595"/>
      <c r="O537" s="554"/>
      <c r="P537" s="554"/>
      <c r="Q537" s="554"/>
      <c r="R537" s="48"/>
      <c r="S537" s="48"/>
      <c r="T537" s="48"/>
      <c r="U537" s="48"/>
      <c r="V537" s="48"/>
    </row>
    <row r="538" spans="2:22" ht="79.5" customHeight="1" thickBot="1" x14ac:dyDescent="0.3">
      <c r="B538" s="1204" t="s">
        <v>173</v>
      </c>
      <c r="C538" s="1199">
        <v>40404</v>
      </c>
      <c r="D538" s="689">
        <v>27300364</v>
      </c>
      <c r="E538" s="1199" t="s">
        <v>192</v>
      </c>
      <c r="F538" s="1233" t="s">
        <v>585</v>
      </c>
      <c r="G538" s="1201" t="s">
        <v>221</v>
      </c>
      <c r="H538" s="1204" t="s">
        <v>241</v>
      </c>
      <c r="I538" s="1199" t="s">
        <v>222</v>
      </c>
      <c r="J538" s="1204" t="s">
        <v>462</v>
      </c>
      <c r="K538" s="1199" t="s">
        <v>222</v>
      </c>
      <c r="L538" s="1199" t="s">
        <v>222</v>
      </c>
      <c r="M538" s="672" t="s">
        <v>122</v>
      </c>
      <c r="N538" s="550"/>
      <c r="O538" s="561">
        <f>O539+O540+O541</f>
        <v>2000</v>
      </c>
      <c r="P538" s="561">
        <f>P539+P540+P541</f>
        <v>2000</v>
      </c>
      <c r="Q538" s="562">
        <f>Q539+Q540+Q541</f>
        <v>2000</v>
      </c>
      <c r="R538" s="48"/>
      <c r="S538" s="48"/>
      <c r="T538" s="48"/>
      <c r="U538" s="48"/>
      <c r="V538" s="48"/>
    </row>
    <row r="539" spans="2:22" ht="21" customHeight="1" thickBot="1" x14ac:dyDescent="0.3">
      <c r="B539" s="1204"/>
      <c r="C539" s="1199"/>
      <c r="D539" s="609"/>
      <c r="E539" s="1199"/>
      <c r="F539" s="1233"/>
      <c r="G539" s="1201"/>
      <c r="H539" s="1204"/>
      <c r="I539" s="1199"/>
      <c r="J539" s="1204"/>
      <c r="K539" s="1199"/>
      <c r="L539" s="1199"/>
      <c r="M539" s="636" t="s">
        <v>123</v>
      </c>
      <c r="N539" s="549"/>
      <c r="O539" s="544">
        <v>0</v>
      </c>
      <c r="P539" s="544">
        <v>0</v>
      </c>
      <c r="Q539" s="675">
        <v>0</v>
      </c>
      <c r="R539" s="48"/>
      <c r="S539" s="48"/>
      <c r="T539" s="48"/>
      <c r="U539" s="48"/>
      <c r="V539" s="48"/>
    </row>
    <row r="540" spans="2:22" ht="20.25" customHeight="1" thickBot="1" x14ac:dyDescent="0.3">
      <c r="B540" s="1204"/>
      <c r="C540" s="1199"/>
      <c r="D540" s="609"/>
      <c r="E540" s="1199"/>
      <c r="F540" s="1233"/>
      <c r="G540" s="1201"/>
      <c r="H540" s="1204"/>
      <c r="I540" s="1199"/>
      <c r="J540" s="1204"/>
      <c r="K540" s="1199"/>
      <c r="L540" s="1199"/>
      <c r="M540" s="672" t="s">
        <v>124</v>
      </c>
      <c r="N540" s="550"/>
      <c r="O540" s="544">
        <f>O544+O548+O552+O556+O560</f>
        <v>2000</v>
      </c>
      <c r="P540" s="544">
        <f>P544+P548+P552+P556+P560</f>
        <v>2000</v>
      </c>
      <c r="Q540" s="675">
        <f>Q544+Q548+Q552+Q556+Q560</f>
        <v>2000</v>
      </c>
      <c r="R540" s="48"/>
      <c r="S540" s="48"/>
      <c r="T540" s="48"/>
      <c r="U540" s="48"/>
      <c r="V540" s="48"/>
    </row>
    <row r="541" spans="2:22" ht="18" customHeight="1" thickBot="1" x14ac:dyDescent="0.3">
      <c r="B541" s="1204"/>
      <c r="C541" s="1199"/>
      <c r="D541" s="688"/>
      <c r="E541" s="1199"/>
      <c r="F541" s="1233"/>
      <c r="G541" s="1201"/>
      <c r="H541" s="1204"/>
      <c r="I541" s="1199"/>
      <c r="J541" s="1204"/>
      <c r="K541" s="1199"/>
      <c r="L541" s="1199"/>
      <c r="M541" s="671" t="s">
        <v>745</v>
      </c>
      <c r="N541" s="543"/>
      <c r="O541" s="544">
        <v>0</v>
      </c>
      <c r="P541" s="544">
        <v>0</v>
      </c>
      <c r="Q541" s="675">
        <v>0</v>
      </c>
      <c r="R541" s="48"/>
      <c r="S541" s="48"/>
      <c r="T541" s="48"/>
      <c r="U541" s="48"/>
      <c r="V541" s="48"/>
    </row>
    <row r="542" spans="2:22" ht="23.25" customHeight="1" thickBot="1" x14ac:dyDescent="0.3">
      <c r="B542" s="1206" t="s">
        <v>173</v>
      </c>
      <c r="C542" s="1207">
        <v>40404</v>
      </c>
      <c r="D542" s="620">
        <v>27300364</v>
      </c>
      <c r="E542" s="1207" t="s">
        <v>192</v>
      </c>
      <c r="F542" s="1200" t="s">
        <v>309</v>
      </c>
      <c r="G542" s="1200" t="s">
        <v>221</v>
      </c>
      <c r="H542" s="1206" t="s">
        <v>241</v>
      </c>
      <c r="I542" s="1207" t="s">
        <v>808</v>
      </c>
      <c r="J542" s="1206" t="s">
        <v>462</v>
      </c>
      <c r="K542" s="1207" t="s">
        <v>808</v>
      </c>
      <c r="L542" s="1207" t="s">
        <v>808</v>
      </c>
      <c r="M542" s="542" t="s">
        <v>122</v>
      </c>
      <c r="N542" s="543"/>
      <c r="O542" s="544">
        <f>O543+O544+O545</f>
        <v>500</v>
      </c>
      <c r="P542" s="544">
        <f>P543+P544+P545</f>
        <v>500</v>
      </c>
      <c r="Q542" s="675">
        <f>Q543+Q544+Q545</f>
        <v>500</v>
      </c>
      <c r="R542" s="48"/>
      <c r="S542" s="48"/>
      <c r="T542" s="48"/>
      <c r="U542" s="48"/>
      <c r="V542" s="48"/>
    </row>
    <row r="543" spans="2:22" ht="22.5" customHeight="1" thickBot="1" x14ac:dyDescent="0.3">
      <c r="B543" s="1204"/>
      <c r="C543" s="1199"/>
      <c r="D543" s="609"/>
      <c r="E543" s="1199"/>
      <c r="F543" s="1201"/>
      <c r="G543" s="1201"/>
      <c r="H543" s="1204"/>
      <c r="I543" s="1199"/>
      <c r="J543" s="1204"/>
      <c r="K543" s="1199"/>
      <c r="L543" s="1199"/>
      <c r="M543" s="636" t="s">
        <v>123</v>
      </c>
      <c r="N543" s="549"/>
      <c r="O543" s="544">
        <v>0</v>
      </c>
      <c r="P543" s="544">
        <v>0</v>
      </c>
      <c r="Q543" s="675">
        <v>0</v>
      </c>
      <c r="R543" s="48"/>
      <c r="S543" s="48"/>
      <c r="T543" s="48"/>
      <c r="U543" s="48"/>
      <c r="V543" s="48"/>
    </row>
    <row r="544" spans="2:22" ht="22.5" customHeight="1" thickBot="1" x14ac:dyDescent="0.3">
      <c r="B544" s="1204"/>
      <c r="C544" s="1199"/>
      <c r="D544" s="609"/>
      <c r="E544" s="1199"/>
      <c r="F544" s="1201"/>
      <c r="G544" s="1201"/>
      <c r="H544" s="1204"/>
      <c r="I544" s="1199"/>
      <c r="J544" s="1204"/>
      <c r="K544" s="1199"/>
      <c r="L544" s="1199"/>
      <c r="M544" s="672" t="s">
        <v>124</v>
      </c>
      <c r="N544" s="550"/>
      <c r="O544" s="544">
        <v>500</v>
      </c>
      <c r="P544" s="544">
        <v>500</v>
      </c>
      <c r="Q544" s="675">
        <v>500</v>
      </c>
      <c r="R544" s="48"/>
      <c r="S544" s="48"/>
      <c r="T544" s="48"/>
      <c r="U544" s="48"/>
      <c r="V544" s="48"/>
    </row>
    <row r="545" spans="2:22" ht="26.25" customHeight="1" thickBot="1" x14ac:dyDescent="0.3">
      <c r="B545" s="1205"/>
      <c r="C545" s="1208"/>
      <c r="D545" s="628"/>
      <c r="E545" s="1208"/>
      <c r="F545" s="1202"/>
      <c r="G545" s="1202"/>
      <c r="H545" s="1205"/>
      <c r="I545" s="1208"/>
      <c r="J545" s="1205"/>
      <c r="K545" s="1208"/>
      <c r="L545" s="1208"/>
      <c r="M545" s="547" t="s">
        <v>745</v>
      </c>
      <c r="N545" s="549"/>
      <c r="O545" s="551">
        <v>0</v>
      </c>
      <c r="P545" s="551">
        <v>0</v>
      </c>
      <c r="Q545" s="552">
        <v>0</v>
      </c>
      <c r="R545" s="48"/>
      <c r="S545" s="48"/>
      <c r="T545" s="48"/>
      <c r="U545" s="48"/>
      <c r="V545" s="48"/>
    </row>
    <row r="546" spans="2:22" ht="21" customHeight="1" thickBot="1" x14ac:dyDescent="0.3">
      <c r="B546" s="1204" t="s">
        <v>173</v>
      </c>
      <c r="C546" s="1199">
        <v>40404</v>
      </c>
      <c r="D546" s="689">
        <v>27300364</v>
      </c>
      <c r="E546" s="1199" t="s">
        <v>192</v>
      </c>
      <c r="F546" s="1201" t="s">
        <v>323</v>
      </c>
      <c r="G546" s="1201" t="s">
        <v>221</v>
      </c>
      <c r="H546" s="1204" t="s">
        <v>241</v>
      </c>
      <c r="I546" s="1199" t="s">
        <v>809</v>
      </c>
      <c r="J546" s="1204" t="s">
        <v>462</v>
      </c>
      <c r="K546" s="1199" t="s">
        <v>809</v>
      </c>
      <c r="L546" s="1199" t="s">
        <v>809</v>
      </c>
      <c r="M546" s="672" t="s">
        <v>122</v>
      </c>
      <c r="N546" s="550"/>
      <c r="O546" s="561">
        <f>O547+O548+O549</f>
        <v>670</v>
      </c>
      <c r="P546" s="561">
        <f>P547+P548+P549</f>
        <v>670</v>
      </c>
      <c r="Q546" s="562">
        <f>Q547+Q548+Q549</f>
        <v>670</v>
      </c>
      <c r="R546" s="48"/>
      <c r="S546" s="48"/>
      <c r="T546" s="48"/>
      <c r="U546" s="48"/>
      <c r="V546" s="48"/>
    </row>
    <row r="547" spans="2:22" ht="24" customHeight="1" thickBot="1" x14ac:dyDescent="0.3">
      <c r="B547" s="1204"/>
      <c r="C547" s="1199"/>
      <c r="D547" s="609"/>
      <c r="E547" s="1199"/>
      <c r="F547" s="1201"/>
      <c r="G547" s="1201"/>
      <c r="H547" s="1204"/>
      <c r="I547" s="1199"/>
      <c r="J547" s="1204"/>
      <c r="K547" s="1199"/>
      <c r="L547" s="1199"/>
      <c r="M547" s="636" t="s">
        <v>123</v>
      </c>
      <c r="N547" s="549"/>
      <c r="O547" s="544">
        <v>0</v>
      </c>
      <c r="P547" s="544">
        <v>0</v>
      </c>
      <c r="Q547" s="675">
        <v>0</v>
      </c>
      <c r="R547" s="48"/>
      <c r="S547" s="48"/>
      <c r="T547" s="48"/>
      <c r="U547" s="48"/>
      <c r="V547" s="48"/>
    </row>
    <row r="548" spans="2:22" ht="20.25" customHeight="1" thickBot="1" x14ac:dyDescent="0.3">
      <c r="B548" s="1204"/>
      <c r="C548" s="1199"/>
      <c r="D548" s="609"/>
      <c r="E548" s="1199"/>
      <c r="F548" s="1201"/>
      <c r="G548" s="1201"/>
      <c r="H548" s="1204"/>
      <c r="I548" s="1199"/>
      <c r="J548" s="1204"/>
      <c r="K548" s="1199"/>
      <c r="L548" s="1199"/>
      <c r="M548" s="672" t="s">
        <v>124</v>
      </c>
      <c r="N548" s="550"/>
      <c r="O548" s="544">
        <v>670</v>
      </c>
      <c r="P548" s="544">
        <v>670</v>
      </c>
      <c r="Q548" s="675">
        <v>670</v>
      </c>
      <c r="R548" s="48"/>
      <c r="S548" s="48"/>
      <c r="T548" s="48"/>
      <c r="U548" s="48"/>
      <c r="V548" s="48"/>
    </row>
    <row r="549" spans="2:22" ht="20.25" customHeight="1" thickBot="1" x14ac:dyDescent="0.3">
      <c r="B549" s="1204"/>
      <c r="C549" s="1199"/>
      <c r="D549" s="688"/>
      <c r="E549" s="1199"/>
      <c r="F549" s="1201"/>
      <c r="G549" s="1201"/>
      <c r="H549" s="1204"/>
      <c r="I549" s="1199"/>
      <c r="J549" s="1204"/>
      <c r="K549" s="1199"/>
      <c r="L549" s="1199"/>
      <c r="M549" s="671" t="s">
        <v>745</v>
      </c>
      <c r="N549" s="543"/>
      <c r="O549" s="544">
        <v>0</v>
      </c>
      <c r="P549" s="544">
        <v>0</v>
      </c>
      <c r="Q549" s="675">
        <v>0</v>
      </c>
      <c r="R549" s="48"/>
      <c r="S549" s="48"/>
      <c r="T549" s="48"/>
      <c r="U549" s="48"/>
      <c r="V549" s="48"/>
    </row>
    <row r="550" spans="2:22" ht="22.5" customHeight="1" thickBot="1" x14ac:dyDescent="0.3">
      <c r="B550" s="1206" t="s">
        <v>173</v>
      </c>
      <c r="C550" s="1207">
        <v>40404</v>
      </c>
      <c r="D550" s="620">
        <v>27300364</v>
      </c>
      <c r="E550" s="1207" t="s">
        <v>192</v>
      </c>
      <c r="F550" s="1200" t="s">
        <v>325</v>
      </c>
      <c r="G550" s="1200" t="s">
        <v>221</v>
      </c>
      <c r="H550" s="1206" t="s">
        <v>241</v>
      </c>
      <c r="I550" s="1207" t="s">
        <v>810</v>
      </c>
      <c r="J550" s="1206" t="s">
        <v>462</v>
      </c>
      <c r="K550" s="1207" t="s">
        <v>810</v>
      </c>
      <c r="L550" s="1207" t="s">
        <v>810</v>
      </c>
      <c r="M550" s="542" t="s">
        <v>122</v>
      </c>
      <c r="N550" s="543"/>
      <c r="O550" s="544">
        <f>O551+O552+O553</f>
        <v>410</v>
      </c>
      <c r="P550" s="544">
        <f>P551+P552+P553</f>
        <v>410</v>
      </c>
      <c r="Q550" s="675">
        <f>Q551+Q552+Q553</f>
        <v>410</v>
      </c>
      <c r="R550" s="48"/>
      <c r="S550" s="48"/>
      <c r="T550" s="48"/>
      <c r="U550" s="48"/>
      <c r="V550" s="48"/>
    </row>
    <row r="551" spans="2:22" ht="18.75" customHeight="1" thickBot="1" x14ac:dyDescent="0.3">
      <c r="B551" s="1204"/>
      <c r="C551" s="1199"/>
      <c r="D551" s="609"/>
      <c r="E551" s="1199"/>
      <c r="F551" s="1201"/>
      <c r="G551" s="1201"/>
      <c r="H551" s="1204"/>
      <c r="I551" s="1199"/>
      <c r="J551" s="1204"/>
      <c r="K551" s="1199"/>
      <c r="L551" s="1199"/>
      <c r="M551" s="636" t="s">
        <v>123</v>
      </c>
      <c r="N551" s="549"/>
      <c r="O551" s="544">
        <v>0</v>
      </c>
      <c r="P551" s="544">
        <v>0</v>
      </c>
      <c r="Q551" s="675">
        <v>0</v>
      </c>
      <c r="R551" s="48"/>
      <c r="S551" s="48"/>
      <c r="T551" s="48"/>
      <c r="U551" s="48"/>
      <c r="V551" s="48"/>
    </row>
    <row r="552" spans="2:22" ht="21" customHeight="1" thickBot="1" x14ac:dyDescent="0.3">
      <c r="B552" s="1204"/>
      <c r="C552" s="1199"/>
      <c r="D552" s="609"/>
      <c r="E552" s="1199"/>
      <c r="F552" s="1201"/>
      <c r="G552" s="1201"/>
      <c r="H552" s="1204"/>
      <c r="I552" s="1199"/>
      <c r="J552" s="1204"/>
      <c r="K552" s="1199"/>
      <c r="L552" s="1199"/>
      <c r="M552" s="672" t="s">
        <v>124</v>
      </c>
      <c r="N552" s="550"/>
      <c r="O552" s="544">
        <v>410</v>
      </c>
      <c r="P552" s="544">
        <v>410</v>
      </c>
      <c r="Q552" s="675">
        <v>410</v>
      </c>
      <c r="R552" s="48"/>
      <c r="S552" s="48"/>
      <c r="T552" s="48"/>
      <c r="U552" s="48"/>
      <c r="V552" s="48"/>
    </row>
    <row r="553" spans="2:22" ht="21.75" customHeight="1" thickBot="1" x14ac:dyDescent="0.3">
      <c r="B553" s="1205"/>
      <c r="C553" s="1208"/>
      <c r="D553" s="628"/>
      <c r="E553" s="1208"/>
      <c r="F553" s="1202"/>
      <c r="G553" s="1202"/>
      <c r="H553" s="1205"/>
      <c r="I553" s="1208"/>
      <c r="J553" s="1205"/>
      <c r="K553" s="1208"/>
      <c r="L553" s="1208"/>
      <c r="M553" s="547" t="s">
        <v>745</v>
      </c>
      <c r="N553" s="549"/>
      <c r="O553" s="551">
        <v>0</v>
      </c>
      <c r="P553" s="551">
        <v>0</v>
      </c>
      <c r="Q553" s="552">
        <v>0</v>
      </c>
      <c r="R553" s="48"/>
      <c r="S553" s="48"/>
      <c r="T553" s="48"/>
      <c r="U553" s="48"/>
      <c r="V553" s="48"/>
    </row>
    <row r="554" spans="2:22" ht="24" customHeight="1" thickBot="1" x14ac:dyDescent="0.3">
      <c r="B554" s="1204" t="s">
        <v>173</v>
      </c>
      <c r="C554" s="1199">
        <v>40404</v>
      </c>
      <c r="D554" s="689">
        <v>27300364</v>
      </c>
      <c r="E554" s="1199" t="s">
        <v>192</v>
      </c>
      <c r="F554" s="1201" t="s">
        <v>341</v>
      </c>
      <c r="G554" s="1201" t="s">
        <v>221</v>
      </c>
      <c r="H554" s="1204" t="s">
        <v>241</v>
      </c>
      <c r="I554" s="1199" t="s">
        <v>811</v>
      </c>
      <c r="J554" s="1204" t="s">
        <v>462</v>
      </c>
      <c r="K554" s="1199" t="s">
        <v>811</v>
      </c>
      <c r="L554" s="1199" t="s">
        <v>811</v>
      </c>
      <c r="M554" s="672" t="s">
        <v>122</v>
      </c>
      <c r="N554" s="550"/>
      <c r="O554" s="561">
        <f>O555+O556+O557</f>
        <v>290</v>
      </c>
      <c r="P554" s="561">
        <f>P555+P556+P557</f>
        <v>290</v>
      </c>
      <c r="Q554" s="562">
        <f>Q555+Q556+Q557</f>
        <v>290</v>
      </c>
      <c r="R554" s="48"/>
      <c r="S554" s="48"/>
      <c r="T554" s="48"/>
      <c r="U554" s="48"/>
      <c r="V554" s="48"/>
    </row>
    <row r="555" spans="2:22" ht="27" customHeight="1" thickBot="1" x14ac:dyDescent="0.3">
      <c r="B555" s="1204"/>
      <c r="C555" s="1199"/>
      <c r="D555" s="609"/>
      <c r="E555" s="1199"/>
      <c r="F555" s="1201"/>
      <c r="G555" s="1201"/>
      <c r="H555" s="1204"/>
      <c r="I555" s="1199"/>
      <c r="J555" s="1204"/>
      <c r="K555" s="1199"/>
      <c r="L555" s="1199"/>
      <c r="M555" s="636" t="s">
        <v>123</v>
      </c>
      <c r="N555" s="549"/>
      <c r="O555" s="544">
        <v>0</v>
      </c>
      <c r="P555" s="544">
        <v>0</v>
      </c>
      <c r="Q555" s="675">
        <v>0</v>
      </c>
      <c r="R555" s="48"/>
      <c r="S555" s="48"/>
      <c r="T555" s="48"/>
      <c r="U555" s="48"/>
      <c r="V555" s="48"/>
    </row>
    <row r="556" spans="2:22" ht="21.75" customHeight="1" thickBot="1" x14ac:dyDescent="0.3">
      <c r="B556" s="1204"/>
      <c r="C556" s="1199"/>
      <c r="D556" s="609"/>
      <c r="E556" s="1199"/>
      <c r="F556" s="1201"/>
      <c r="G556" s="1201"/>
      <c r="H556" s="1204"/>
      <c r="I556" s="1199"/>
      <c r="J556" s="1204"/>
      <c r="K556" s="1199"/>
      <c r="L556" s="1199"/>
      <c r="M556" s="672" t="s">
        <v>124</v>
      </c>
      <c r="N556" s="550"/>
      <c r="O556" s="544">
        <v>290</v>
      </c>
      <c r="P556" s="544">
        <v>290</v>
      </c>
      <c r="Q556" s="675">
        <v>290</v>
      </c>
      <c r="R556" s="48"/>
      <c r="S556" s="48"/>
      <c r="T556" s="48"/>
      <c r="U556" s="48"/>
      <c r="V556" s="48"/>
    </row>
    <row r="557" spans="2:22" ht="21" customHeight="1" thickBot="1" x14ac:dyDescent="0.3">
      <c r="B557" s="1204"/>
      <c r="C557" s="1199"/>
      <c r="D557" s="688"/>
      <c r="E557" s="1199"/>
      <c r="F557" s="1201"/>
      <c r="G557" s="1201"/>
      <c r="H557" s="1204"/>
      <c r="I557" s="1199"/>
      <c r="J557" s="1204"/>
      <c r="K557" s="1199"/>
      <c r="L557" s="1199"/>
      <c r="M557" s="671" t="s">
        <v>745</v>
      </c>
      <c r="N557" s="543"/>
      <c r="O557" s="544">
        <v>0</v>
      </c>
      <c r="P557" s="544">
        <v>0</v>
      </c>
      <c r="Q557" s="675">
        <v>0</v>
      </c>
      <c r="R557" s="48"/>
      <c r="S557" s="48"/>
      <c r="T557" s="48"/>
      <c r="U557" s="48"/>
      <c r="V557" s="48"/>
    </row>
    <row r="558" spans="2:22" ht="21.75" customHeight="1" thickBot="1" x14ac:dyDescent="0.3">
      <c r="B558" s="1206" t="s">
        <v>173</v>
      </c>
      <c r="C558" s="1207">
        <v>40404</v>
      </c>
      <c r="D558" s="620">
        <v>27300364</v>
      </c>
      <c r="E558" s="1207" t="s">
        <v>192</v>
      </c>
      <c r="F558" s="1200" t="s">
        <v>807</v>
      </c>
      <c r="G558" s="1200" t="s">
        <v>221</v>
      </c>
      <c r="H558" s="1206" t="s">
        <v>241</v>
      </c>
      <c r="I558" s="1207" t="s">
        <v>332</v>
      </c>
      <c r="J558" s="1206" t="s">
        <v>462</v>
      </c>
      <c r="K558" s="1207" t="s">
        <v>332</v>
      </c>
      <c r="L558" s="1207" t="s">
        <v>332</v>
      </c>
      <c r="M558" s="542" t="s">
        <v>122</v>
      </c>
      <c r="N558" s="543"/>
      <c r="O558" s="544">
        <f>O559+O560+O561</f>
        <v>130</v>
      </c>
      <c r="P558" s="544">
        <f>P559+P560+P561</f>
        <v>130</v>
      </c>
      <c r="Q558" s="675">
        <f>Q559+Q560+Q561</f>
        <v>130</v>
      </c>
      <c r="R558" s="48"/>
      <c r="S558" s="48"/>
      <c r="T558" s="48"/>
      <c r="U558" s="48"/>
      <c r="V558" s="48"/>
    </row>
    <row r="559" spans="2:22" ht="21" customHeight="1" thickBot="1" x14ac:dyDescent="0.3">
      <c r="B559" s="1204"/>
      <c r="C559" s="1199"/>
      <c r="D559" s="609"/>
      <c r="E559" s="1199"/>
      <c r="F559" s="1201"/>
      <c r="G559" s="1201"/>
      <c r="H559" s="1204"/>
      <c r="I559" s="1199"/>
      <c r="J559" s="1204"/>
      <c r="K559" s="1199"/>
      <c r="L559" s="1199"/>
      <c r="M559" s="636" t="s">
        <v>123</v>
      </c>
      <c r="N559" s="549"/>
      <c r="O559" s="544">
        <v>0</v>
      </c>
      <c r="P559" s="544">
        <v>0</v>
      </c>
      <c r="Q559" s="675">
        <v>0</v>
      </c>
      <c r="R559" s="48"/>
      <c r="S559" s="48"/>
      <c r="T559" s="48"/>
      <c r="U559" s="48"/>
      <c r="V559" s="48"/>
    </row>
    <row r="560" spans="2:22" ht="18" customHeight="1" thickBot="1" x14ac:dyDescent="0.3">
      <c r="B560" s="1204"/>
      <c r="C560" s="1199"/>
      <c r="D560" s="609"/>
      <c r="E560" s="1199"/>
      <c r="F560" s="1201"/>
      <c r="G560" s="1201"/>
      <c r="H560" s="1204"/>
      <c r="I560" s="1199"/>
      <c r="J560" s="1204"/>
      <c r="K560" s="1199"/>
      <c r="L560" s="1199"/>
      <c r="M560" s="672" t="s">
        <v>124</v>
      </c>
      <c r="N560" s="550"/>
      <c r="O560" s="544">
        <v>130</v>
      </c>
      <c r="P560" s="544">
        <v>130</v>
      </c>
      <c r="Q560" s="675">
        <v>130</v>
      </c>
      <c r="R560" s="48"/>
      <c r="S560" s="48"/>
      <c r="T560" s="48"/>
      <c r="U560" s="48"/>
      <c r="V560" s="48"/>
    </row>
    <row r="561" spans="2:22" ht="18" customHeight="1" thickBot="1" x14ac:dyDescent="0.3">
      <c r="B561" s="1205"/>
      <c r="C561" s="1208"/>
      <c r="D561" s="628"/>
      <c r="E561" s="1208"/>
      <c r="F561" s="1202"/>
      <c r="G561" s="1202"/>
      <c r="H561" s="1205"/>
      <c r="I561" s="1208"/>
      <c r="J561" s="1205"/>
      <c r="K561" s="1208"/>
      <c r="L561" s="1216"/>
      <c r="M561" s="547" t="s">
        <v>745</v>
      </c>
      <c r="N561" s="549"/>
      <c r="O561" s="551">
        <v>0</v>
      </c>
      <c r="P561" s="551">
        <v>0</v>
      </c>
      <c r="Q561" s="552">
        <v>0</v>
      </c>
      <c r="R561" s="48"/>
      <c r="S561" s="48"/>
      <c r="T561" s="48"/>
      <c r="U561" s="48"/>
      <c r="V561" s="48"/>
    </row>
    <row r="562" spans="2:22" ht="25.5" customHeight="1" thickBot="1" x14ac:dyDescent="0.3">
      <c r="B562" s="1204" t="s">
        <v>173</v>
      </c>
      <c r="C562" s="1199" t="s">
        <v>596</v>
      </c>
      <c r="D562" s="689" t="s">
        <v>288</v>
      </c>
      <c r="E562" s="1199" t="s">
        <v>505</v>
      </c>
      <c r="F562" s="1201" t="s">
        <v>595</v>
      </c>
      <c r="G562" s="1199" t="s">
        <v>116</v>
      </c>
      <c r="H562" s="1204" t="s">
        <v>241</v>
      </c>
      <c r="I562" s="1199">
        <v>15123</v>
      </c>
      <c r="J562" s="1204" t="s">
        <v>462</v>
      </c>
      <c r="K562" s="1199">
        <f>K566+K567+K568+K569+K570</f>
        <v>15337</v>
      </c>
      <c r="L562" s="1192">
        <f>L566+L567+L568+L569+L570</f>
        <v>14403</v>
      </c>
      <c r="M562" s="672" t="s">
        <v>122</v>
      </c>
      <c r="N562" s="550"/>
      <c r="O562" s="561">
        <f>O563+O564+O565</f>
        <v>70193.315000000002</v>
      </c>
      <c r="P562" s="561">
        <f>P563+P564+P565</f>
        <v>72939.774999999994</v>
      </c>
      <c r="Q562" s="562">
        <f>Q563+Q564+Q565</f>
        <v>75822.464999999997</v>
      </c>
      <c r="R562" s="48"/>
      <c r="S562" s="48"/>
      <c r="T562" s="48"/>
      <c r="U562" s="48"/>
      <c r="V562" s="48"/>
    </row>
    <row r="563" spans="2:22" ht="24" customHeight="1" thickBot="1" x14ac:dyDescent="0.3">
      <c r="B563" s="1204"/>
      <c r="C563" s="1199"/>
      <c r="D563" s="609"/>
      <c r="E563" s="1199"/>
      <c r="F563" s="1201"/>
      <c r="G563" s="1199"/>
      <c r="H563" s="1204"/>
      <c r="I563" s="1199"/>
      <c r="J563" s="1204"/>
      <c r="K563" s="1199"/>
      <c r="L563" s="1192"/>
      <c r="M563" s="636" t="s">
        <v>123</v>
      </c>
      <c r="N563" s="549"/>
      <c r="O563" s="544">
        <v>0</v>
      </c>
      <c r="P563" s="544">
        <v>0</v>
      </c>
      <c r="Q563" s="675">
        <v>0</v>
      </c>
      <c r="R563" s="48"/>
      <c r="S563" s="48"/>
      <c r="T563" s="48"/>
      <c r="U563" s="48"/>
      <c r="V563" s="48"/>
    </row>
    <row r="564" spans="2:22" ht="24" customHeight="1" thickBot="1" x14ac:dyDescent="0.3">
      <c r="B564" s="1204"/>
      <c r="C564" s="1199"/>
      <c r="D564" s="609"/>
      <c r="E564" s="1199"/>
      <c r="F564" s="1201"/>
      <c r="G564" s="1199"/>
      <c r="H564" s="1204"/>
      <c r="I564" s="1199"/>
      <c r="J564" s="1204"/>
      <c r="K564" s="1199"/>
      <c r="L564" s="1192"/>
      <c r="M564" s="692" t="s">
        <v>124</v>
      </c>
      <c r="N564" s="563"/>
      <c r="O564" s="551">
        <f>O568</f>
        <v>70193.315000000002</v>
      </c>
      <c r="P564" s="551">
        <f>P568</f>
        <v>72939.774999999994</v>
      </c>
      <c r="Q564" s="552">
        <f>Q568</f>
        <v>75822.464999999997</v>
      </c>
      <c r="R564" s="48"/>
      <c r="S564" s="48"/>
      <c r="T564" s="48"/>
      <c r="U564" s="48"/>
      <c r="V564" s="48"/>
    </row>
    <row r="565" spans="2:22" ht="31.5" customHeight="1" thickBot="1" x14ac:dyDescent="0.3">
      <c r="B565" s="1204"/>
      <c r="C565" s="1199"/>
      <c r="D565" s="688"/>
      <c r="E565" s="1199"/>
      <c r="F565" s="1201"/>
      <c r="G565" s="1199"/>
      <c r="H565" s="1204"/>
      <c r="I565" s="1199"/>
      <c r="J565" s="1204"/>
      <c r="K565" s="1199"/>
      <c r="L565" s="1192"/>
      <c r="M565" s="671" t="s">
        <v>745</v>
      </c>
      <c r="N565" s="543"/>
      <c r="O565" s="544">
        <v>0</v>
      </c>
      <c r="P565" s="544">
        <v>0</v>
      </c>
      <c r="Q565" s="675">
        <v>0</v>
      </c>
      <c r="R565" s="48"/>
      <c r="S565" s="48"/>
      <c r="T565" s="48"/>
      <c r="U565" s="48"/>
      <c r="V565" s="48"/>
    </row>
    <row r="566" spans="2:22" ht="234" customHeight="1" thickBot="1" x14ac:dyDescent="0.3">
      <c r="B566" s="547" t="s">
        <v>173</v>
      </c>
      <c r="C566" s="704" t="s">
        <v>596</v>
      </c>
      <c r="D566" s="636" t="s">
        <v>288</v>
      </c>
      <c r="E566" s="636" t="s">
        <v>505</v>
      </c>
      <c r="F566" s="662" t="s">
        <v>357</v>
      </c>
      <c r="G566" s="545" t="s">
        <v>256</v>
      </c>
      <c r="H566" s="546" t="s">
        <v>241</v>
      </c>
      <c r="I566" s="636">
        <v>7496</v>
      </c>
      <c r="J566" s="1206" t="s">
        <v>462</v>
      </c>
      <c r="K566" s="654">
        <v>7297</v>
      </c>
      <c r="L566" s="593">
        <v>7311</v>
      </c>
      <c r="M566" s="655" t="s">
        <v>122</v>
      </c>
      <c r="N566" s="1288">
        <v>64789.550999999999</v>
      </c>
      <c r="O566" s="698">
        <f>O567+O568+O569</f>
        <v>70193.315000000002</v>
      </c>
      <c r="P566" s="698">
        <f>P567+P568+P569</f>
        <v>72939.774999999994</v>
      </c>
      <c r="Q566" s="656">
        <f>Q567+Q568+Q569</f>
        <v>75822.464999999997</v>
      </c>
      <c r="R566" s="48"/>
      <c r="S566" s="48"/>
      <c r="T566" s="48"/>
      <c r="U566" s="48"/>
      <c r="V566" s="48"/>
    </row>
    <row r="567" spans="2:22" ht="172.5" customHeight="1" thickBot="1" x14ac:dyDescent="0.3">
      <c r="B567" s="687" t="s">
        <v>173</v>
      </c>
      <c r="C567" s="673" t="s">
        <v>596</v>
      </c>
      <c r="D567" s="672" t="s">
        <v>288</v>
      </c>
      <c r="E567" s="672" t="s">
        <v>505</v>
      </c>
      <c r="F567" s="663" t="s">
        <v>358</v>
      </c>
      <c r="G567" s="677" t="s">
        <v>256</v>
      </c>
      <c r="H567" s="684" t="s">
        <v>241</v>
      </c>
      <c r="I567" s="693">
        <v>250</v>
      </c>
      <c r="J567" s="1204"/>
      <c r="K567" s="555">
        <v>270</v>
      </c>
      <c r="L567" s="594">
        <v>283</v>
      </c>
      <c r="M567" s="644" t="s">
        <v>123</v>
      </c>
      <c r="N567" s="1289"/>
      <c r="O567" s="699">
        <v>0</v>
      </c>
      <c r="P567" s="699">
        <v>0</v>
      </c>
      <c r="Q567" s="597">
        <v>0</v>
      </c>
      <c r="R567" s="48"/>
      <c r="S567" s="48"/>
      <c r="T567" s="48"/>
      <c r="U567" s="48"/>
      <c r="V567" s="48"/>
    </row>
    <row r="568" spans="2:22" ht="245.25" customHeight="1" thickBot="1" x14ac:dyDescent="0.3">
      <c r="B568" s="584" t="s">
        <v>173</v>
      </c>
      <c r="C568" s="703" t="s">
        <v>596</v>
      </c>
      <c r="D568" s="636" t="s">
        <v>288</v>
      </c>
      <c r="E568" s="636" t="s">
        <v>505</v>
      </c>
      <c r="F568" s="662" t="s">
        <v>359</v>
      </c>
      <c r="G568" s="545" t="s">
        <v>256</v>
      </c>
      <c r="H568" s="546" t="s">
        <v>241</v>
      </c>
      <c r="I568" s="636">
        <v>3289</v>
      </c>
      <c r="J568" s="1204"/>
      <c r="K568" s="555">
        <v>3251</v>
      </c>
      <c r="L568" s="594">
        <v>3264</v>
      </c>
      <c r="M568" s="644" t="s">
        <v>124</v>
      </c>
      <c r="N568" s="1289"/>
      <c r="O568" s="699">
        <v>70193.315000000002</v>
      </c>
      <c r="P568" s="699">
        <v>72939.774999999994</v>
      </c>
      <c r="Q568" s="597">
        <v>75822.464999999997</v>
      </c>
      <c r="R568" s="48"/>
      <c r="S568" s="48"/>
      <c r="T568" s="48"/>
      <c r="U568" s="48"/>
      <c r="V568" s="48"/>
    </row>
    <row r="569" spans="2:22" ht="219.75" customHeight="1" x14ac:dyDescent="0.25">
      <c r="B569" s="584" t="s">
        <v>173</v>
      </c>
      <c r="C569" s="682" t="s">
        <v>596</v>
      </c>
      <c r="D569" s="689" t="s">
        <v>288</v>
      </c>
      <c r="E569" s="689" t="s">
        <v>505</v>
      </c>
      <c r="F569" s="660" t="s">
        <v>360</v>
      </c>
      <c r="G569" s="697" t="s">
        <v>256</v>
      </c>
      <c r="H569" s="661" t="s">
        <v>241</v>
      </c>
      <c r="I569" s="696">
        <v>1530</v>
      </c>
      <c r="J569" s="1204"/>
      <c r="K569" s="555">
        <v>1538</v>
      </c>
      <c r="L569" s="594">
        <v>1551</v>
      </c>
      <c r="M569" s="598" t="s">
        <v>745</v>
      </c>
      <c r="N569" s="1289"/>
      <c r="O569" s="699">
        <v>0</v>
      </c>
      <c r="P569" s="699">
        <v>0</v>
      </c>
      <c r="Q569" s="597">
        <v>0</v>
      </c>
      <c r="R569" s="48"/>
      <c r="S569" s="48"/>
      <c r="T569" s="48"/>
      <c r="U569" s="48"/>
      <c r="V569" s="48"/>
    </row>
    <row r="570" spans="2:22" ht="66.75" customHeight="1" thickBot="1" x14ac:dyDescent="0.3">
      <c r="B570" s="586" t="s">
        <v>173</v>
      </c>
      <c r="C570" s="558" t="s">
        <v>596</v>
      </c>
      <c r="D570" s="628" t="s">
        <v>288</v>
      </c>
      <c r="E570" s="628" t="s">
        <v>505</v>
      </c>
      <c r="F570" s="657" t="s">
        <v>361</v>
      </c>
      <c r="G570" s="591" t="s">
        <v>256</v>
      </c>
      <c r="H570" s="658" t="s">
        <v>241</v>
      </c>
      <c r="I570" s="592">
        <v>2968</v>
      </c>
      <c r="J570" s="1205"/>
      <c r="K570" s="558">
        <v>2981</v>
      </c>
      <c r="L570" s="592">
        <v>1994</v>
      </c>
      <c r="M570" s="621"/>
      <c r="N570" s="1290"/>
      <c r="O570" s="700"/>
      <c r="P570" s="700"/>
      <c r="Q570" s="659"/>
      <c r="R570" s="48"/>
      <c r="S570" s="48"/>
      <c r="T570" s="48"/>
      <c r="U570" s="48"/>
      <c r="V570" s="48"/>
    </row>
    <row r="571" spans="2:22" ht="44.25" customHeight="1" thickBot="1" x14ac:dyDescent="0.3">
      <c r="B571" s="1204" t="s">
        <v>173</v>
      </c>
      <c r="C571" s="1199" t="s">
        <v>289</v>
      </c>
      <c r="D571" s="689" t="s">
        <v>288</v>
      </c>
      <c r="E571" s="1209" t="s">
        <v>116</v>
      </c>
      <c r="F571" s="1201" t="s">
        <v>290</v>
      </c>
      <c r="G571" s="1201" t="s">
        <v>257</v>
      </c>
      <c r="H571" s="1204" t="s">
        <v>242</v>
      </c>
      <c r="I571" s="1199" t="s">
        <v>607</v>
      </c>
      <c r="J571" s="1204" t="s">
        <v>462</v>
      </c>
      <c r="K571" s="1199" t="s">
        <v>607</v>
      </c>
      <c r="L571" s="1192" t="s">
        <v>607</v>
      </c>
      <c r="M571" s="672" t="s">
        <v>122</v>
      </c>
      <c r="N571" s="550"/>
      <c r="O571" s="561">
        <f>O572+O573+O574</f>
        <v>2506.71</v>
      </c>
      <c r="P571" s="561">
        <f>P572+P573+P574</f>
        <v>0</v>
      </c>
      <c r="Q571" s="562">
        <f>Q572+Q573+Q574</f>
        <v>0</v>
      </c>
      <c r="R571" s="48"/>
      <c r="S571" s="48"/>
      <c r="T571" s="48"/>
      <c r="U571" s="48"/>
      <c r="V571" s="48"/>
    </row>
    <row r="572" spans="2:22" ht="33.75" customHeight="1" thickBot="1" x14ac:dyDescent="0.3">
      <c r="B572" s="1204"/>
      <c r="C572" s="1199"/>
      <c r="D572" s="609"/>
      <c r="E572" s="1209"/>
      <c r="F572" s="1201"/>
      <c r="G572" s="1201"/>
      <c r="H572" s="1204"/>
      <c r="I572" s="1199"/>
      <c r="J572" s="1204"/>
      <c r="K572" s="1199"/>
      <c r="L572" s="1192"/>
      <c r="M572" s="636" t="s">
        <v>123</v>
      </c>
      <c r="N572" s="549"/>
      <c r="O572" s="544">
        <v>0</v>
      </c>
      <c r="P572" s="544">
        <v>0</v>
      </c>
      <c r="Q572" s="675">
        <v>0</v>
      </c>
      <c r="R572" s="48"/>
      <c r="S572" s="48"/>
      <c r="T572" s="48"/>
      <c r="U572" s="48"/>
      <c r="V572" s="48"/>
    </row>
    <row r="573" spans="2:22" ht="34.5" customHeight="1" thickBot="1" x14ac:dyDescent="0.3">
      <c r="B573" s="1204"/>
      <c r="C573" s="1199"/>
      <c r="D573" s="609"/>
      <c r="E573" s="1209"/>
      <c r="F573" s="1201"/>
      <c r="G573" s="1201"/>
      <c r="H573" s="1204"/>
      <c r="I573" s="1199"/>
      <c r="J573" s="1204"/>
      <c r="K573" s="1199"/>
      <c r="L573" s="1192"/>
      <c r="M573" s="542" t="s">
        <v>124</v>
      </c>
      <c r="N573" s="543"/>
      <c r="O573" s="544">
        <f>O577+O581</f>
        <v>2506.71</v>
      </c>
      <c r="P573" s="544">
        <f>P577+P581</f>
        <v>0</v>
      </c>
      <c r="Q573" s="675">
        <f>Q577+Q581</f>
        <v>0</v>
      </c>
      <c r="R573" s="48"/>
      <c r="S573" s="48"/>
      <c r="T573" s="48"/>
      <c r="U573" s="48"/>
      <c r="V573" s="48"/>
    </row>
    <row r="574" spans="2:22" ht="53.25" customHeight="1" thickBot="1" x14ac:dyDescent="0.3">
      <c r="B574" s="1205"/>
      <c r="C574" s="1208"/>
      <c r="D574" s="609"/>
      <c r="E574" s="1210"/>
      <c r="F574" s="1202"/>
      <c r="G574" s="1202"/>
      <c r="H574" s="1205"/>
      <c r="I574" s="1208"/>
      <c r="J574" s="1205"/>
      <c r="K574" s="1208"/>
      <c r="L574" s="1216"/>
      <c r="M574" s="547" t="s">
        <v>745</v>
      </c>
      <c r="N574" s="549"/>
      <c r="O574" s="551">
        <v>0</v>
      </c>
      <c r="P574" s="551">
        <v>0</v>
      </c>
      <c r="Q574" s="552">
        <v>0</v>
      </c>
      <c r="R574" s="48"/>
      <c r="S574" s="48"/>
      <c r="T574" s="48"/>
      <c r="U574" s="48"/>
      <c r="V574" s="48"/>
    </row>
    <row r="575" spans="2:22" ht="24" customHeight="1" thickBot="1" x14ac:dyDescent="0.3">
      <c r="B575" s="1206" t="s">
        <v>173</v>
      </c>
      <c r="C575" s="1207" t="s">
        <v>289</v>
      </c>
      <c r="D575" s="609" t="s">
        <v>288</v>
      </c>
      <c r="E575" s="1207" t="s">
        <v>505</v>
      </c>
      <c r="F575" s="1200" t="s">
        <v>604</v>
      </c>
      <c r="G575" s="1200" t="s">
        <v>257</v>
      </c>
      <c r="H575" s="1206" t="s">
        <v>242</v>
      </c>
      <c r="I575" s="1207" t="s">
        <v>605</v>
      </c>
      <c r="J575" s="1206" t="s">
        <v>462</v>
      </c>
      <c r="K575" s="1207" t="s">
        <v>605</v>
      </c>
      <c r="L575" s="1215" t="s">
        <v>605</v>
      </c>
      <c r="M575" s="542" t="s">
        <v>122</v>
      </c>
      <c r="N575" s="543"/>
      <c r="O575" s="544">
        <f>O576+O577+O578</f>
        <v>1639</v>
      </c>
      <c r="P575" s="544">
        <f>P576+P577+P578</f>
        <v>0</v>
      </c>
      <c r="Q575" s="675">
        <f>Q576+Q577+Q578</f>
        <v>0</v>
      </c>
      <c r="R575" s="48"/>
      <c r="S575" s="48"/>
      <c r="T575" s="48"/>
      <c r="U575" s="48"/>
      <c r="V575" s="48"/>
    </row>
    <row r="576" spans="2:22" ht="21" customHeight="1" thickBot="1" x14ac:dyDescent="0.3">
      <c r="B576" s="1204"/>
      <c r="C576" s="1199"/>
      <c r="D576" s="609"/>
      <c r="E576" s="1199"/>
      <c r="F576" s="1201"/>
      <c r="G576" s="1201"/>
      <c r="H576" s="1204"/>
      <c r="I576" s="1199"/>
      <c r="J576" s="1204"/>
      <c r="K576" s="1199"/>
      <c r="L576" s="1192"/>
      <c r="M576" s="636" t="s">
        <v>123</v>
      </c>
      <c r="N576" s="549"/>
      <c r="O576" s="544">
        <v>0</v>
      </c>
      <c r="P576" s="544">
        <v>0</v>
      </c>
      <c r="Q576" s="675">
        <v>0</v>
      </c>
      <c r="R576" s="48"/>
      <c r="S576" s="48"/>
      <c r="T576" s="48"/>
      <c r="U576" s="48"/>
      <c r="V576" s="48"/>
    </row>
    <row r="577" spans="2:22" ht="24" customHeight="1" thickBot="1" x14ac:dyDescent="0.3">
      <c r="B577" s="1204"/>
      <c r="C577" s="1199"/>
      <c r="D577" s="609"/>
      <c r="E577" s="1199"/>
      <c r="F577" s="1201"/>
      <c r="G577" s="1201"/>
      <c r="H577" s="1204"/>
      <c r="I577" s="1199"/>
      <c r="J577" s="1204"/>
      <c r="K577" s="1199"/>
      <c r="L577" s="1192"/>
      <c r="M577" s="672" t="s">
        <v>124</v>
      </c>
      <c r="N577" s="550"/>
      <c r="O577" s="544">
        <v>1639</v>
      </c>
      <c r="P577" s="544">
        <v>0</v>
      </c>
      <c r="Q577" s="675">
        <v>0</v>
      </c>
      <c r="R577" s="48"/>
      <c r="S577" s="48"/>
      <c r="T577" s="48"/>
      <c r="U577" s="48"/>
      <c r="V577" s="48"/>
    </row>
    <row r="578" spans="2:22" ht="24" customHeight="1" thickBot="1" x14ac:dyDescent="0.3">
      <c r="B578" s="1204"/>
      <c r="C578" s="1199"/>
      <c r="D578" s="688"/>
      <c r="E578" s="1199"/>
      <c r="F578" s="1201"/>
      <c r="G578" s="1201"/>
      <c r="H578" s="1204"/>
      <c r="I578" s="1199"/>
      <c r="J578" s="1204"/>
      <c r="K578" s="1199"/>
      <c r="L578" s="1192"/>
      <c r="M578" s="671" t="s">
        <v>745</v>
      </c>
      <c r="N578" s="543"/>
      <c r="O578" s="544">
        <v>0</v>
      </c>
      <c r="P578" s="544">
        <v>0</v>
      </c>
      <c r="Q578" s="675">
        <v>0</v>
      </c>
      <c r="R578" s="48"/>
      <c r="S578" s="48"/>
      <c r="T578" s="48"/>
      <c r="U578" s="48"/>
      <c r="V578" s="48"/>
    </row>
    <row r="579" spans="2:22" ht="108" customHeight="1" thickBot="1" x14ac:dyDescent="0.3">
      <c r="B579" s="1206" t="s">
        <v>173</v>
      </c>
      <c r="C579" s="1207" t="s">
        <v>289</v>
      </c>
      <c r="D579" s="620" t="s">
        <v>288</v>
      </c>
      <c r="E579" s="1207" t="s">
        <v>621</v>
      </c>
      <c r="F579" s="1200" t="s">
        <v>604</v>
      </c>
      <c r="G579" s="1200" t="s">
        <v>257</v>
      </c>
      <c r="H579" s="1206" t="s">
        <v>242</v>
      </c>
      <c r="I579" s="1207" t="s">
        <v>606</v>
      </c>
      <c r="J579" s="1206" t="s">
        <v>462</v>
      </c>
      <c r="K579" s="1207" t="s">
        <v>606</v>
      </c>
      <c r="L579" s="1215" t="s">
        <v>606</v>
      </c>
      <c r="M579" s="542" t="s">
        <v>122</v>
      </c>
      <c r="N579" s="543"/>
      <c r="O579" s="544">
        <f>O580+O581+O582</f>
        <v>867.71</v>
      </c>
      <c r="P579" s="544">
        <f>P580+P581+P582</f>
        <v>0</v>
      </c>
      <c r="Q579" s="675">
        <f>Q580+Q581+Q582</f>
        <v>0</v>
      </c>
      <c r="R579" s="48"/>
      <c r="S579" s="48"/>
      <c r="T579" s="48"/>
      <c r="U579" s="48"/>
      <c r="V579" s="48"/>
    </row>
    <row r="580" spans="2:22" ht="23.25" customHeight="1" thickBot="1" x14ac:dyDescent="0.3">
      <c r="B580" s="1204"/>
      <c r="C580" s="1199"/>
      <c r="D580" s="609"/>
      <c r="E580" s="1199"/>
      <c r="F580" s="1201"/>
      <c r="G580" s="1201"/>
      <c r="H580" s="1204"/>
      <c r="I580" s="1199"/>
      <c r="J580" s="1204"/>
      <c r="K580" s="1199"/>
      <c r="L580" s="1192"/>
      <c r="M580" s="636" t="s">
        <v>123</v>
      </c>
      <c r="N580" s="549"/>
      <c r="O580" s="544">
        <v>0</v>
      </c>
      <c r="P580" s="544">
        <v>0</v>
      </c>
      <c r="Q580" s="675">
        <v>0</v>
      </c>
      <c r="R580" s="48"/>
      <c r="S580" s="48"/>
      <c r="T580" s="48"/>
      <c r="U580" s="48"/>
      <c r="V580" s="48"/>
    </row>
    <row r="581" spans="2:22" ht="21" customHeight="1" thickBot="1" x14ac:dyDescent="0.3">
      <c r="B581" s="1204"/>
      <c r="C581" s="1199"/>
      <c r="D581" s="609"/>
      <c r="E581" s="1199"/>
      <c r="F581" s="1201"/>
      <c r="G581" s="1201"/>
      <c r="H581" s="1204"/>
      <c r="I581" s="1199"/>
      <c r="J581" s="1204"/>
      <c r="K581" s="1199"/>
      <c r="L581" s="1192"/>
      <c r="M581" s="672" t="s">
        <v>124</v>
      </c>
      <c r="N581" s="550"/>
      <c r="O581" s="544">
        <v>867.71</v>
      </c>
      <c r="P581" s="544">
        <v>0</v>
      </c>
      <c r="Q581" s="675">
        <v>0</v>
      </c>
      <c r="R581" s="48"/>
      <c r="S581" s="48"/>
      <c r="T581" s="48"/>
      <c r="U581" s="48"/>
      <c r="V581" s="48"/>
    </row>
    <row r="582" spans="2:22" ht="23.25" customHeight="1" thickBot="1" x14ac:dyDescent="0.3">
      <c r="B582" s="1205"/>
      <c r="C582" s="1208"/>
      <c r="D582" s="628"/>
      <c r="E582" s="1208"/>
      <c r="F582" s="1202"/>
      <c r="G582" s="1202"/>
      <c r="H582" s="1205"/>
      <c r="I582" s="1208"/>
      <c r="J582" s="1205"/>
      <c r="K582" s="1208"/>
      <c r="L582" s="1216"/>
      <c r="M582" s="547" t="s">
        <v>745</v>
      </c>
      <c r="N582" s="549"/>
      <c r="O582" s="551">
        <v>0</v>
      </c>
      <c r="P582" s="551">
        <v>0</v>
      </c>
      <c r="Q582" s="552">
        <v>0</v>
      </c>
      <c r="R582" s="48"/>
      <c r="S582" s="48"/>
      <c r="T582" s="48"/>
      <c r="U582" s="48"/>
      <c r="V582" s="48"/>
    </row>
    <row r="583" spans="2:22" ht="24" customHeight="1" thickBot="1" x14ac:dyDescent="0.3">
      <c r="B583" s="1206" t="s">
        <v>173</v>
      </c>
      <c r="C583" s="1207" t="s">
        <v>291</v>
      </c>
      <c r="D583" s="620" t="s">
        <v>288</v>
      </c>
      <c r="E583" s="1207" t="s">
        <v>505</v>
      </c>
      <c r="F583" s="1200" t="s">
        <v>77</v>
      </c>
      <c r="G583" s="1200" t="s">
        <v>254</v>
      </c>
      <c r="H583" s="1206" t="s">
        <v>240</v>
      </c>
      <c r="I583" s="1207">
        <v>1</v>
      </c>
      <c r="J583" s="1206" t="s">
        <v>462</v>
      </c>
      <c r="K583" s="1207" t="s">
        <v>116</v>
      </c>
      <c r="L583" s="1215" t="s">
        <v>116</v>
      </c>
      <c r="M583" s="542" t="s">
        <v>122</v>
      </c>
      <c r="N583" s="543"/>
      <c r="O583" s="544">
        <f t="shared" ref="O583:Q586" si="15">O587+O591+O595+O599+O603+O607+O611+O615</f>
        <v>16104.223</v>
      </c>
      <c r="P583" s="544">
        <f t="shared" si="15"/>
        <v>3800</v>
      </c>
      <c r="Q583" s="675">
        <f t="shared" si="15"/>
        <v>3800</v>
      </c>
      <c r="R583" s="48"/>
      <c r="S583" s="48"/>
      <c r="T583" s="48"/>
      <c r="U583" s="48"/>
      <c r="V583" s="48"/>
    </row>
    <row r="584" spans="2:22" ht="21" customHeight="1" thickBot="1" x14ac:dyDescent="0.3">
      <c r="B584" s="1204"/>
      <c r="C584" s="1199"/>
      <c r="D584" s="609"/>
      <c r="E584" s="1199"/>
      <c r="F584" s="1201"/>
      <c r="G584" s="1201"/>
      <c r="H584" s="1204"/>
      <c r="I584" s="1199"/>
      <c r="J584" s="1204"/>
      <c r="K584" s="1199"/>
      <c r="L584" s="1192"/>
      <c r="M584" s="636" t="s">
        <v>123</v>
      </c>
      <c r="N584" s="549"/>
      <c r="O584" s="544">
        <f t="shared" si="15"/>
        <v>0</v>
      </c>
      <c r="P584" s="544">
        <f t="shared" si="15"/>
        <v>0</v>
      </c>
      <c r="Q584" s="675">
        <f t="shared" si="15"/>
        <v>0</v>
      </c>
      <c r="R584" s="48"/>
      <c r="S584" s="48"/>
      <c r="T584" s="48"/>
      <c r="U584" s="48"/>
      <c r="V584" s="48"/>
    </row>
    <row r="585" spans="2:22" ht="22.5" customHeight="1" thickBot="1" x14ac:dyDescent="0.3">
      <c r="B585" s="1204"/>
      <c r="C585" s="1199"/>
      <c r="D585" s="609"/>
      <c r="E585" s="1199"/>
      <c r="F585" s="1201"/>
      <c r="G585" s="1201"/>
      <c r="H585" s="1204"/>
      <c r="I585" s="1199"/>
      <c r="J585" s="1204"/>
      <c r="K585" s="1199"/>
      <c r="L585" s="1192"/>
      <c r="M585" s="672" t="s">
        <v>124</v>
      </c>
      <c r="N585" s="550"/>
      <c r="O585" s="544">
        <f t="shared" si="15"/>
        <v>16104.223</v>
      </c>
      <c r="P585" s="544">
        <f t="shared" si="15"/>
        <v>3800</v>
      </c>
      <c r="Q585" s="675">
        <f t="shared" si="15"/>
        <v>3800</v>
      </c>
      <c r="R585" s="48"/>
      <c r="S585" s="48"/>
      <c r="T585" s="48"/>
      <c r="U585" s="48"/>
      <c r="V585" s="48"/>
    </row>
    <row r="586" spans="2:22" ht="22.5" customHeight="1" thickBot="1" x14ac:dyDescent="0.3">
      <c r="B586" s="1205"/>
      <c r="C586" s="1208"/>
      <c r="D586" s="628"/>
      <c r="E586" s="1208"/>
      <c r="F586" s="1202"/>
      <c r="G586" s="1202"/>
      <c r="H586" s="1205"/>
      <c r="I586" s="1208"/>
      <c r="J586" s="1205"/>
      <c r="K586" s="1208"/>
      <c r="L586" s="1216"/>
      <c r="M586" s="547" t="s">
        <v>745</v>
      </c>
      <c r="N586" s="549"/>
      <c r="O586" s="551">
        <f t="shared" si="15"/>
        <v>2251.9679999999998</v>
      </c>
      <c r="P586" s="551">
        <f t="shared" si="15"/>
        <v>0</v>
      </c>
      <c r="Q586" s="552">
        <f t="shared" si="15"/>
        <v>0</v>
      </c>
      <c r="R586" s="48"/>
      <c r="S586" s="48"/>
      <c r="T586" s="48"/>
      <c r="U586" s="48"/>
      <c r="V586" s="48"/>
    </row>
    <row r="587" spans="2:22" ht="24" customHeight="1" thickBot="1" x14ac:dyDescent="0.3">
      <c r="B587" s="1223" t="s">
        <v>173</v>
      </c>
      <c r="C587" s="1226" t="s">
        <v>291</v>
      </c>
      <c r="D587" s="727" t="s">
        <v>288</v>
      </c>
      <c r="E587" s="1226" t="s">
        <v>505</v>
      </c>
      <c r="F587" s="1220" t="s">
        <v>878</v>
      </c>
      <c r="G587" s="1220" t="s">
        <v>254</v>
      </c>
      <c r="H587" s="1223" t="s">
        <v>240</v>
      </c>
      <c r="I587" s="1226">
        <v>1</v>
      </c>
      <c r="J587" s="1223" t="s">
        <v>462</v>
      </c>
      <c r="K587" s="1226">
        <v>1</v>
      </c>
      <c r="L587" s="1217">
        <v>1</v>
      </c>
      <c r="M587" s="709" t="s">
        <v>122</v>
      </c>
      <c r="N587" s="710"/>
      <c r="O587" s="711">
        <f>O588+O589</f>
        <v>2946.26</v>
      </c>
      <c r="P587" s="712">
        <f>P588+P589</f>
        <v>1733.9</v>
      </c>
      <c r="Q587" s="728">
        <f>Q588+Q589</f>
        <v>1733.9</v>
      </c>
      <c r="R587" s="48"/>
      <c r="S587" s="48"/>
      <c r="T587" s="48"/>
      <c r="U587" s="48"/>
      <c r="V587" s="48"/>
    </row>
    <row r="588" spans="2:22" ht="24" customHeight="1" thickBot="1" x14ac:dyDescent="0.3">
      <c r="B588" s="1224"/>
      <c r="C588" s="1227"/>
      <c r="D588" s="729"/>
      <c r="E588" s="1227"/>
      <c r="F588" s="1221"/>
      <c r="G588" s="1221"/>
      <c r="H588" s="1224"/>
      <c r="I588" s="1227"/>
      <c r="J588" s="1224"/>
      <c r="K588" s="1227"/>
      <c r="L588" s="1218"/>
      <c r="M588" s="714" t="s">
        <v>123</v>
      </c>
      <c r="N588" s="715"/>
      <c r="O588" s="711">
        <v>0</v>
      </c>
      <c r="P588" s="712">
        <v>0</v>
      </c>
      <c r="Q588" s="712">
        <v>0</v>
      </c>
      <c r="R588" s="48"/>
      <c r="S588" s="48"/>
      <c r="T588" s="48"/>
      <c r="U588" s="48"/>
      <c r="V588" s="48"/>
    </row>
    <row r="589" spans="2:22" ht="23.25" customHeight="1" thickBot="1" x14ac:dyDescent="0.3">
      <c r="B589" s="1224"/>
      <c r="C589" s="1227"/>
      <c r="D589" s="729"/>
      <c r="E589" s="1227"/>
      <c r="F589" s="1221"/>
      <c r="G589" s="1221"/>
      <c r="H589" s="1224"/>
      <c r="I589" s="1227"/>
      <c r="J589" s="1224"/>
      <c r="K589" s="1227"/>
      <c r="L589" s="1218"/>
      <c r="M589" s="718" t="s">
        <v>124</v>
      </c>
      <c r="N589" s="719"/>
      <c r="O589" s="711">
        <v>2946.26</v>
      </c>
      <c r="P589" s="712">
        <v>1733.9</v>
      </c>
      <c r="Q589" s="712">
        <v>1733.9</v>
      </c>
      <c r="R589" s="48"/>
      <c r="S589" s="48"/>
      <c r="T589" s="48"/>
      <c r="U589" s="48"/>
      <c r="V589" s="48"/>
    </row>
    <row r="590" spans="2:22" ht="23.25" customHeight="1" thickBot="1" x14ac:dyDescent="0.3">
      <c r="B590" s="1225"/>
      <c r="C590" s="1228"/>
      <c r="D590" s="730"/>
      <c r="E590" s="1228"/>
      <c r="F590" s="1222"/>
      <c r="G590" s="1222"/>
      <c r="H590" s="1225"/>
      <c r="I590" s="1228"/>
      <c r="J590" s="1225"/>
      <c r="K590" s="1228"/>
      <c r="L590" s="1219"/>
      <c r="M590" s="721" t="s">
        <v>745</v>
      </c>
      <c r="N590" s="715"/>
      <c r="O590" s="716">
        <v>0</v>
      </c>
      <c r="P590" s="717">
        <v>0</v>
      </c>
      <c r="Q590" s="717">
        <v>0</v>
      </c>
      <c r="R590" s="48"/>
      <c r="S590" s="48"/>
      <c r="T590" s="48"/>
      <c r="U590" s="48"/>
      <c r="V590" s="48"/>
    </row>
    <row r="591" spans="2:22" ht="34.5" customHeight="1" thickBot="1" x14ac:dyDescent="0.3">
      <c r="B591" s="1204" t="s">
        <v>173</v>
      </c>
      <c r="C591" s="1199" t="s">
        <v>291</v>
      </c>
      <c r="D591" s="689" t="s">
        <v>288</v>
      </c>
      <c r="E591" s="1199" t="s">
        <v>505</v>
      </c>
      <c r="F591" s="1201" t="s">
        <v>873</v>
      </c>
      <c r="G591" s="1201" t="s">
        <v>254</v>
      </c>
      <c r="H591" s="1204" t="s">
        <v>240</v>
      </c>
      <c r="I591" s="1199">
        <v>1</v>
      </c>
      <c r="J591" s="1204" t="s">
        <v>462</v>
      </c>
      <c r="K591" s="1199">
        <v>1</v>
      </c>
      <c r="L591" s="1192">
        <v>1</v>
      </c>
      <c r="M591" s="692" t="s">
        <v>122</v>
      </c>
      <c r="N591" s="563"/>
      <c r="O591" s="557">
        <f>O592+O593</f>
        <v>2066.1</v>
      </c>
      <c r="P591" s="557">
        <f>P592+P593</f>
        <v>2066.1</v>
      </c>
      <c r="Q591" s="552">
        <f>Q592+Q593</f>
        <v>2066.1</v>
      </c>
      <c r="R591" s="48"/>
      <c r="S591" s="48"/>
      <c r="T591" s="48"/>
      <c r="U591" s="48"/>
      <c r="V591" s="48"/>
    </row>
    <row r="592" spans="2:22" ht="35.25" customHeight="1" thickBot="1" x14ac:dyDescent="0.3">
      <c r="B592" s="1204"/>
      <c r="C592" s="1199"/>
      <c r="D592" s="609"/>
      <c r="E592" s="1199"/>
      <c r="F592" s="1201"/>
      <c r="G592" s="1201"/>
      <c r="H592" s="1204"/>
      <c r="I592" s="1199"/>
      <c r="J592" s="1204"/>
      <c r="K592" s="1199"/>
      <c r="L592" s="1192"/>
      <c r="M592" s="636" t="s">
        <v>123</v>
      </c>
      <c r="N592" s="549"/>
      <c r="O592" s="544">
        <v>0</v>
      </c>
      <c r="P592" s="544">
        <v>0</v>
      </c>
      <c r="Q592" s="675">
        <v>0</v>
      </c>
      <c r="R592" s="48"/>
      <c r="S592" s="48"/>
      <c r="T592" s="48"/>
      <c r="U592" s="48"/>
      <c r="V592" s="48"/>
    </row>
    <row r="593" spans="2:22" ht="48.75" customHeight="1" thickBot="1" x14ac:dyDescent="0.3">
      <c r="B593" s="1204"/>
      <c r="C593" s="1199"/>
      <c r="D593" s="609"/>
      <c r="E593" s="1199"/>
      <c r="F593" s="1201"/>
      <c r="G593" s="1201"/>
      <c r="H593" s="1204"/>
      <c r="I593" s="1199"/>
      <c r="J593" s="1204"/>
      <c r="K593" s="1199"/>
      <c r="L593" s="1192"/>
      <c r="M593" s="672" t="s">
        <v>124</v>
      </c>
      <c r="N593" s="550"/>
      <c r="O593" s="544">
        <v>2066.1</v>
      </c>
      <c r="P593" s="544">
        <v>2066.1</v>
      </c>
      <c r="Q593" s="675">
        <v>2066.1</v>
      </c>
      <c r="R593" s="48"/>
      <c r="S593" s="48"/>
      <c r="T593" s="48"/>
      <c r="U593" s="48"/>
      <c r="V593" s="48"/>
    </row>
    <row r="594" spans="2:22" ht="34.5" customHeight="1" thickBot="1" x14ac:dyDescent="0.3">
      <c r="B594" s="1205"/>
      <c r="C594" s="1199"/>
      <c r="D594" s="688"/>
      <c r="E594" s="1199"/>
      <c r="F594" s="1201"/>
      <c r="G594" s="1201"/>
      <c r="H594" s="1204"/>
      <c r="I594" s="1199"/>
      <c r="J594" s="1204"/>
      <c r="K594" s="1199"/>
      <c r="L594" s="1192"/>
      <c r="M594" s="671" t="s">
        <v>745</v>
      </c>
      <c r="N594" s="543"/>
      <c r="O594" s="544">
        <v>331.96800000000002</v>
      </c>
      <c r="P594" s="544">
        <v>0</v>
      </c>
      <c r="Q594" s="675">
        <v>0</v>
      </c>
      <c r="R594" s="48"/>
      <c r="S594" s="48"/>
      <c r="T594" s="48"/>
      <c r="U594" s="48"/>
      <c r="V594" s="48"/>
    </row>
    <row r="595" spans="2:22" ht="26.25" customHeight="1" thickBot="1" x14ac:dyDescent="0.3">
      <c r="B595" s="1206" t="s">
        <v>173</v>
      </c>
      <c r="C595" s="1207" t="s">
        <v>291</v>
      </c>
      <c r="D595" s="620" t="s">
        <v>288</v>
      </c>
      <c r="E595" s="1207" t="s">
        <v>505</v>
      </c>
      <c r="F595" s="1200" t="s">
        <v>294</v>
      </c>
      <c r="G595" s="1200" t="s">
        <v>254</v>
      </c>
      <c r="H595" s="1206" t="s">
        <v>240</v>
      </c>
      <c r="I595" s="1207">
        <v>1</v>
      </c>
      <c r="J595" s="1206" t="s">
        <v>462</v>
      </c>
      <c r="K595" s="1207" t="s">
        <v>199</v>
      </c>
      <c r="L595" s="1215" t="s">
        <v>199</v>
      </c>
      <c r="M595" s="542" t="s">
        <v>122</v>
      </c>
      <c r="N595" s="543"/>
      <c r="O595" s="544">
        <f>O596+O597</f>
        <v>0</v>
      </c>
      <c r="P595" s="544">
        <f>P596+P597</f>
        <v>0</v>
      </c>
      <c r="Q595" s="552">
        <f>Q596+Q597</f>
        <v>0</v>
      </c>
      <c r="R595" s="48"/>
      <c r="S595" s="48"/>
      <c r="T595" s="48"/>
      <c r="U595" s="48"/>
      <c r="V595" s="48"/>
    </row>
    <row r="596" spans="2:22" ht="29.25" customHeight="1" thickBot="1" x14ac:dyDescent="0.3">
      <c r="B596" s="1204"/>
      <c r="C596" s="1199"/>
      <c r="D596" s="609"/>
      <c r="E596" s="1199"/>
      <c r="F596" s="1201"/>
      <c r="G596" s="1201"/>
      <c r="H596" s="1204"/>
      <c r="I596" s="1199"/>
      <c r="J596" s="1204"/>
      <c r="K596" s="1199"/>
      <c r="L596" s="1192"/>
      <c r="M596" s="636" t="s">
        <v>123</v>
      </c>
      <c r="N596" s="549"/>
      <c r="O596" s="544">
        <v>0</v>
      </c>
      <c r="P596" s="544">
        <v>0</v>
      </c>
      <c r="Q596" s="675">
        <v>0</v>
      </c>
      <c r="R596" s="48"/>
      <c r="S596" s="48"/>
      <c r="T596" s="48"/>
      <c r="U596" s="48"/>
      <c r="V596" s="48"/>
    </row>
    <row r="597" spans="2:22" ht="26.25" customHeight="1" thickBot="1" x14ac:dyDescent="0.3">
      <c r="B597" s="1204"/>
      <c r="C597" s="1199"/>
      <c r="D597" s="609"/>
      <c r="E597" s="1199"/>
      <c r="F597" s="1201"/>
      <c r="G597" s="1201"/>
      <c r="H597" s="1204"/>
      <c r="I597" s="1199"/>
      <c r="J597" s="1204"/>
      <c r="K597" s="1199"/>
      <c r="L597" s="1192"/>
      <c r="M597" s="672" t="s">
        <v>124</v>
      </c>
      <c r="N597" s="550"/>
      <c r="O597" s="544">
        <v>0</v>
      </c>
      <c r="P597" s="544">
        <v>0</v>
      </c>
      <c r="Q597" s="675">
        <v>0</v>
      </c>
      <c r="R597" s="48"/>
      <c r="S597" s="48"/>
      <c r="T597" s="48"/>
      <c r="U597" s="48"/>
      <c r="V597" s="48"/>
    </row>
    <row r="598" spans="2:22" ht="30" customHeight="1" thickBot="1" x14ac:dyDescent="0.3">
      <c r="B598" s="1205"/>
      <c r="C598" s="1208"/>
      <c r="D598" s="628"/>
      <c r="E598" s="1208"/>
      <c r="F598" s="1202"/>
      <c r="G598" s="1202"/>
      <c r="H598" s="1205"/>
      <c r="I598" s="1208"/>
      <c r="J598" s="1205"/>
      <c r="K598" s="1208"/>
      <c r="L598" s="1216"/>
      <c r="M598" s="547" t="s">
        <v>745</v>
      </c>
      <c r="N598" s="549"/>
      <c r="O598" s="551">
        <v>720</v>
      </c>
      <c r="P598" s="551">
        <v>0</v>
      </c>
      <c r="Q598" s="552">
        <v>0</v>
      </c>
      <c r="R598" s="48"/>
      <c r="S598" s="48"/>
      <c r="T598" s="48"/>
      <c r="U598" s="48"/>
      <c r="V598" s="48"/>
    </row>
    <row r="599" spans="2:22" ht="30" customHeight="1" thickBot="1" x14ac:dyDescent="0.3">
      <c r="B599" s="1204" t="s">
        <v>173</v>
      </c>
      <c r="C599" s="1199" t="s">
        <v>291</v>
      </c>
      <c r="D599" s="689" t="s">
        <v>288</v>
      </c>
      <c r="E599" s="1199" t="s">
        <v>505</v>
      </c>
      <c r="F599" s="1201" t="s">
        <v>814</v>
      </c>
      <c r="G599" s="1201" t="s">
        <v>254</v>
      </c>
      <c r="H599" s="1204" t="s">
        <v>240</v>
      </c>
      <c r="I599" s="1199">
        <v>1</v>
      </c>
      <c r="J599" s="1204" t="s">
        <v>462</v>
      </c>
      <c r="K599" s="1199" t="s">
        <v>199</v>
      </c>
      <c r="L599" s="1192" t="s">
        <v>199</v>
      </c>
      <c r="M599" s="672" t="s">
        <v>122</v>
      </c>
      <c r="N599" s="550"/>
      <c r="O599" s="561">
        <f>O600+O601</f>
        <v>1671.49</v>
      </c>
      <c r="P599" s="561">
        <f>P600+P601</f>
        <v>0</v>
      </c>
      <c r="Q599" s="676">
        <f>Q600+Q601</f>
        <v>0</v>
      </c>
      <c r="R599" s="48"/>
      <c r="S599" s="48"/>
      <c r="T599" s="48"/>
      <c r="U599" s="48"/>
      <c r="V599" s="48"/>
    </row>
    <row r="600" spans="2:22" ht="30" customHeight="1" thickBot="1" x14ac:dyDescent="0.3">
      <c r="B600" s="1204"/>
      <c r="C600" s="1199"/>
      <c r="D600" s="609"/>
      <c r="E600" s="1199"/>
      <c r="F600" s="1201"/>
      <c r="G600" s="1201"/>
      <c r="H600" s="1204"/>
      <c r="I600" s="1199"/>
      <c r="J600" s="1204"/>
      <c r="K600" s="1199"/>
      <c r="L600" s="1192"/>
      <c r="M600" s="636" t="s">
        <v>123</v>
      </c>
      <c r="N600" s="549"/>
      <c r="O600" s="544">
        <v>0</v>
      </c>
      <c r="P600" s="544">
        <v>0</v>
      </c>
      <c r="Q600" s="675">
        <v>0</v>
      </c>
      <c r="R600" s="48"/>
      <c r="S600" s="48"/>
      <c r="T600" s="48"/>
      <c r="U600" s="48"/>
      <c r="V600" s="48"/>
    </row>
    <row r="601" spans="2:22" ht="30" customHeight="1" thickBot="1" x14ac:dyDescent="0.3">
      <c r="B601" s="1204"/>
      <c r="C601" s="1199"/>
      <c r="D601" s="609"/>
      <c r="E601" s="1199"/>
      <c r="F601" s="1201"/>
      <c r="G601" s="1201"/>
      <c r="H601" s="1204"/>
      <c r="I601" s="1199"/>
      <c r="J601" s="1204"/>
      <c r="K601" s="1199"/>
      <c r="L601" s="1192"/>
      <c r="M601" s="692" t="s">
        <v>124</v>
      </c>
      <c r="N601" s="563"/>
      <c r="O601" s="551">
        <v>1671.49</v>
      </c>
      <c r="P601" s="551">
        <v>0</v>
      </c>
      <c r="Q601" s="552">
        <v>0</v>
      </c>
      <c r="R601" s="48"/>
      <c r="S601" s="48"/>
      <c r="T601" s="48"/>
      <c r="U601" s="48"/>
      <c r="V601" s="48"/>
    </row>
    <row r="602" spans="2:22" ht="30" customHeight="1" thickBot="1" x14ac:dyDescent="0.3">
      <c r="B602" s="1204"/>
      <c r="C602" s="1199"/>
      <c r="D602" s="688"/>
      <c r="E602" s="1199"/>
      <c r="F602" s="1201"/>
      <c r="G602" s="1201"/>
      <c r="H602" s="1204"/>
      <c r="I602" s="1199"/>
      <c r="J602" s="1204"/>
      <c r="K602" s="1199"/>
      <c r="L602" s="1199"/>
      <c r="M602" s="671" t="s">
        <v>745</v>
      </c>
      <c r="N602" s="543"/>
      <c r="O602" s="544">
        <v>0</v>
      </c>
      <c r="P602" s="544">
        <v>0</v>
      </c>
      <c r="Q602" s="675">
        <v>0</v>
      </c>
      <c r="R602" s="48"/>
      <c r="S602" s="48"/>
      <c r="T602" s="48"/>
      <c r="U602" s="48"/>
      <c r="V602" s="48"/>
    </row>
    <row r="603" spans="2:22" ht="57" customHeight="1" thickBot="1" x14ac:dyDescent="0.3">
      <c r="B603" s="1206" t="s">
        <v>173</v>
      </c>
      <c r="C603" s="1207" t="s">
        <v>291</v>
      </c>
      <c r="D603" s="620" t="s">
        <v>288</v>
      </c>
      <c r="E603" s="1207" t="s">
        <v>505</v>
      </c>
      <c r="F603" s="1200" t="s">
        <v>815</v>
      </c>
      <c r="G603" s="1200" t="s">
        <v>254</v>
      </c>
      <c r="H603" s="1206" t="s">
        <v>240</v>
      </c>
      <c r="I603" s="1207">
        <v>1</v>
      </c>
      <c r="J603" s="1206" t="s">
        <v>462</v>
      </c>
      <c r="K603" s="1207" t="s">
        <v>199</v>
      </c>
      <c r="L603" s="1207" t="s">
        <v>199</v>
      </c>
      <c r="M603" s="542" t="s">
        <v>122</v>
      </c>
      <c r="N603" s="543"/>
      <c r="O603" s="544">
        <f>O604+O605</f>
        <v>2710.9679999999998</v>
      </c>
      <c r="P603" s="544">
        <f>P604+P605</f>
        <v>0</v>
      </c>
      <c r="Q603" s="552">
        <f>Q604+Q605</f>
        <v>0</v>
      </c>
      <c r="R603" s="48"/>
      <c r="S603" s="48"/>
      <c r="T603" s="48"/>
      <c r="U603" s="48"/>
      <c r="V603" s="48"/>
    </row>
    <row r="604" spans="2:22" ht="30" customHeight="1" thickBot="1" x14ac:dyDescent="0.3">
      <c r="B604" s="1204"/>
      <c r="C604" s="1199"/>
      <c r="D604" s="609"/>
      <c r="E604" s="1199"/>
      <c r="F604" s="1201"/>
      <c r="G604" s="1201"/>
      <c r="H604" s="1204"/>
      <c r="I604" s="1199"/>
      <c r="J604" s="1204"/>
      <c r="K604" s="1199"/>
      <c r="L604" s="1199"/>
      <c r="M604" s="636" t="s">
        <v>123</v>
      </c>
      <c r="N604" s="549"/>
      <c r="O604" s="544">
        <v>0</v>
      </c>
      <c r="P604" s="544">
        <v>0</v>
      </c>
      <c r="Q604" s="675">
        <v>0</v>
      </c>
      <c r="R604" s="48"/>
      <c r="S604" s="48"/>
      <c r="T604" s="48"/>
      <c r="U604" s="48"/>
      <c r="V604" s="48"/>
    </row>
    <row r="605" spans="2:22" ht="30" customHeight="1" thickBot="1" x14ac:dyDescent="0.3">
      <c r="B605" s="1204"/>
      <c r="C605" s="1199"/>
      <c r="D605" s="609"/>
      <c r="E605" s="1199"/>
      <c r="F605" s="1201"/>
      <c r="G605" s="1201"/>
      <c r="H605" s="1204"/>
      <c r="I605" s="1199"/>
      <c r="J605" s="1204"/>
      <c r="K605" s="1199"/>
      <c r="L605" s="1199"/>
      <c r="M605" s="672" t="s">
        <v>124</v>
      </c>
      <c r="N605" s="550"/>
      <c r="O605" s="544">
        <v>2710.9679999999998</v>
      </c>
      <c r="P605" s="544">
        <v>0</v>
      </c>
      <c r="Q605" s="675">
        <v>0</v>
      </c>
      <c r="R605" s="48"/>
      <c r="S605" s="48"/>
      <c r="T605" s="48"/>
      <c r="U605" s="48"/>
      <c r="V605" s="48"/>
    </row>
    <row r="606" spans="2:22" ht="30" customHeight="1" thickBot="1" x14ac:dyDescent="0.3">
      <c r="B606" s="1205"/>
      <c r="C606" s="1208"/>
      <c r="D606" s="628"/>
      <c r="E606" s="1208"/>
      <c r="F606" s="1202"/>
      <c r="G606" s="1202"/>
      <c r="H606" s="1205"/>
      <c r="I606" s="1208"/>
      <c r="J606" s="1205"/>
      <c r="K606" s="1208"/>
      <c r="L606" s="1208"/>
      <c r="M606" s="547" t="s">
        <v>745</v>
      </c>
      <c r="N606" s="549"/>
      <c r="O606" s="551">
        <v>0</v>
      </c>
      <c r="P606" s="551">
        <v>0</v>
      </c>
      <c r="Q606" s="552">
        <v>0</v>
      </c>
      <c r="R606" s="48"/>
      <c r="S606" s="48"/>
      <c r="T606" s="48"/>
      <c r="U606" s="48"/>
      <c r="V606" s="48"/>
    </row>
    <row r="607" spans="2:22" ht="39" customHeight="1" thickBot="1" x14ac:dyDescent="0.3">
      <c r="B607" s="1204" t="s">
        <v>173</v>
      </c>
      <c r="C607" s="1199" t="s">
        <v>291</v>
      </c>
      <c r="D607" s="689" t="s">
        <v>288</v>
      </c>
      <c r="E607" s="1199" t="s">
        <v>505</v>
      </c>
      <c r="F607" s="1201" t="s">
        <v>816</v>
      </c>
      <c r="G607" s="1201" t="s">
        <v>254</v>
      </c>
      <c r="H607" s="1204" t="s">
        <v>240</v>
      </c>
      <c r="I607" s="1199">
        <v>1</v>
      </c>
      <c r="J607" s="1204" t="s">
        <v>462</v>
      </c>
      <c r="K607" s="1199" t="s">
        <v>199</v>
      </c>
      <c r="L607" s="1199" t="s">
        <v>199</v>
      </c>
      <c r="M607" s="672" t="s">
        <v>122</v>
      </c>
      <c r="N607" s="550"/>
      <c r="O607" s="561">
        <f>O608+O609</f>
        <v>3591.11</v>
      </c>
      <c r="P607" s="561">
        <f>P608+P609</f>
        <v>0</v>
      </c>
      <c r="Q607" s="676">
        <f>Q608+Q609</f>
        <v>0</v>
      </c>
      <c r="R607" s="48"/>
      <c r="S607" s="48"/>
      <c r="T607" s="48"/>
      <c r="U607" s="48"/>
      <c r="V607" s="48"/>
    </row>
    <row r="608" spans="2:22" ht="30" customHeight="1" thickBot="1" x14ac:dyDescent="0.3">
      <c r="B608" s="1204"/>
      <c r="C608" s="1199"/>
      <c r="D608" s="609"/>
      <c r="E608" s="1199"/>
      <c r="F608" s="1201"/>
      <c r="G608" s="1201"/>
      <c r="H608" s="1204"/>
      <c r="I608" s="1199"/>
      <c r="J608" s="1204"/>
      <c r="K608" s="1199"/>
      <c r="L608" s="1199"/>
      <c r="M608" s="636" t="s">
        <v>123</v>
      </c>
      <c r="N608" s="549"/>
      <c r="O608" s="544">
        <v>0</v>
      </c>
      <c r="P608" s="544">
        <v>0</v>
      </c>
      <c r="Q608" s="675">
        <v>0</v>
      </c>
      <c r="R608" s="48"/>
      <c r="S608" s="48"/>
      <c r="T608" s="48"/>
      <c r="U608" s="48"/>
      <c r="V608" s="48"/>
    </row>
    <row r="609" spans="2:22" ht="30" customHeight="1" thickBot="1" x14ac:dyDescent="0.3">
      <c r="B609" s="1204"/>
      <c r="C609" s="1199"/>
      <c r="D609" s="609"/>
      <c r="E609" s="1199"/>
      <c r="F609" s="1201"/>
      <c r="G609" s="1201"/>
      <c r="H609" s="1204"/>
      <c r="I609" s="1199"/>
      <c r="J609" s="1204"/>
      <c r="K609" s="1199"/>
      <c r="L609" s="1199"/>
      <c r="M609" s="672" t="s">
        <v>124</v>
      </c>
      <c r="N609" s="550"/>
      <c r="O609" s="544">
        <v>3591.11</v>
      </c>
      <c r="P609" s="544">
        <v>0</v>
      </c>
      <c r="Q609" s="675">
        <v>0</v>
      </c>
      <c r="R609" s="48"/>
      <c r="S609" s="48"/>
      <c r="T609" s="48"/>
      <c r="U609" s="48"/>
      <c r="V609" s="48"/>
    </row>
    <row r="610" spans="2:22" ht="30" customHeight="1" thickBot="1" x14ac:dyDescent="0.3">
      <c r="B610" s="1204"/>
      <c r="C610" s="1199"/>
      <c r="D610" s="688"/>
      <c r="E610" s="1199"/>
      <c r="F610" s="1201"/>
      <c r="G610" s="1201"/>
      <c r="H610" s="1204"/>
      <c r="I610" s="1199"/>
      <c r="J610" s="1204"/>
      <c r="K610" s="1199"/>
      <c r="L610" s="1199"/>
      <c r="M610" s="671" t="s">
        <v>745</v>
      </c>
      <c r="N610" s="543"/>
      <c r="O610" s="544">
        <v>0</v>
      </c>
      <c r="P610" s="544">
        <v>0</v>
      </c>
      <c r="Q610" s="675">
        <v>0</v>
      </c>
      <c r="R610" s="48"/>
      <c r="S610" s="48"/>
      <c r="T610" s="48"/>
      <c r="U610" s="48"/>
      <c r="V610" s="48"/>
    </row>
    <row r="611" spans="2:22" ht="30" customHeight="1" thickBot="1" x14ac:dyDescent="0.3">
      <c r="B611" s="1206" t="s">
        <v>173</v>
      </c>
      <c r="C611" s="1207" t="s">
        <v>291</v>
      </c>
      <c r="D611" s="620" t="s">
        <v>288</v>
      </c>
      <c r="E611" s="1207" t="s">
        <v>505</v>
      </c>
      <c r="F611" s="1200" t="s">
        <v>874</v>
      </c>
      <c r="G611" s="1200" t="s">
        <v>254</v>
      </c>
      <c r="H611" s="1206" t="s">
        <v>240</v>
      </c>
      <c r="I611" s="1207">
        <v>1</v>
      </c>
      <c r="J611" s="1206" t="s">
        <v>462</v>
      </c>
      <c r="K611" s="1207" t="s">
        <v>199</v>
      </c>
      <c r="L611" s="1207" t="s">
        <v>199</v>
      </c>
      <c r="M611" s="542" t="s">
        <v>122</v>
      </c>
      <c r="N611" s="543"/>
      <c r="O611" s="544">
        <f>O612+O613</f>
        <v>3118.2950000000001</v>
      </c>
      <c r="P611" s="544">
        <f>P612+P613</f>
        <v>0</v>
      </c>
      <c r="Q611" s="552">
        <f>Q612+Q613</f>
        <v>0</v>
      </c>
      <c r="R611" s="48"/>
      <c r="S611" s="48"/>
      <c r="T611" s="48"/>
      <c r="U611" s="48"/>
      <c r="V611" s="48"/>
    </row>
    <row r="612" spans="2:22" ht="30" customHeight="1" thickBot="1" x14ac:dyDescent="0.3">
      <c r="B612" s="1204"/>
      <c r="C612" s="1199"/>
      <c r="D612" s="609"/>
      <c r="E612" s="1199"/>
      <c r="F612" s="1201"/>
      <c r="G612" s="1201"/>
      <c r="H612" s="1204"/>
      <c r="I612" s="1199"/>
      <c r="J612" s="1204"/>
      <c r="K612" s="1199"/>
      <c r="L612" s="1199"/>
      <c r="M612" s="636" t="s">
        <v>123</v>
      </c>
      <c r="N612" s="549"/>
      <c r="O612" s="544">
        <v>0</v>
      </c>
      <c r="P612" s="544">
        <v>0</v>
      </c>
      <c r="Q612" s="675">
        <v>0</v>
      </c>
      <c r="R612" s="48"/>
      <c r="S612" s="48"/>
      <c r="T612" s="48"/>
      <c r="U612" s="48"/>
      <c r="V612" s="48"/>
    </row>
    <row r="613" spans="2:22" ht="30" customHeight="1" thickBot="1" x14ac:dyDescent="0.3">
      <c r="B613" s="1204"/>
      <c r="C613" s="1199"/>
      <c r="D613" s="609"/>
      <c r="E613" s="1199"/>
      <c r="F613" s="1201"/>
      <c r="G613" s="1201"/>
      <c r="H613" s="1204"/>
      <c r="I613" s="1199"/>
      <c r="J613" s="1204"/>
      <c r="K613" s="1199"/>
      <c r="L613" s="1199"/>
      <c r="M613" s="672" t="s">
        <v>124</v>
      </c>
      <c r="N613" s="550"/>
      <c r="O613" s="544">
        <v>3118.2950000000001</v>
      </c>
      <c r="P613" s="544">
        <v>0</v>
      </c>
      <c r="Q613" s="675">
        <v>0</v>
      </c>
      <c r="R613" s="48"/>
      <c r="S613" s="48"/>
      <c r="T613" s="48"/>
      <c r="U613" s="48"/>
      <c r="V613" s="48"/>
    </row>
    <row r="614" spans="2:22" ht="30" customHeight="1" thickBot="1" x14ac:dyDescent="0.3">
      <c r="B614" s="1205"/>
      <c r="C614" s="1208"/>
      <c r="D614" s="628"/>
      <c r="E614" s="1208"/>
      <c r="F614" s="1202"/>
      <c r="G614" s="1202"/>
      <c r="H614" s="1205"/>
      <c r="I614" s="1208"/>
      <c r="J614" s="1205"/>
      <c r="K614" s="1208"/>
      <c r="L614" s="1208"/>
      <c r="M614" s="547" t="s">
        <v>745</v>
      </c>
      <c r="N614" s="549"/>
      <c r="O614" s="551">
        <v>0</v>
      </c>
      <c r="P614" s="551">
        <v>0</v>
      </c>
      <c r="Q614" s="552">
        <v>0</v>
      </c>
      <c r="R614" s="48"/>
      <c r="S614" s="48"/>
      <c r="T614" s="48"/>
      <c r="U614" s="48"/>
      <c r="V614" s="48"/>
    </row>
    <row r="615" spans="2:22" ht="78" customHeight="1" thickBot="1" x14ac:dyDescent="0.3">
      <c r="B615" s="1204" t="s">
        <v>173</v>
      </c>
      <c r="C615" s="1199" t="s">
        <v>291</v>
      </c>
      <c r="D615" s="689" t="s">
        <v>288</v>
      </c>
      <c r="E615" s="1199" t="s">
        <v>505</v>
      </c>
      <c r="F615" s="1201" t="s">
        <v>766</v>
      </c>
      <c r="G615" s="1201" t="s">
        <v>435</v>
      </c>
      <c r="H615" s="1204" t="s">
        <v>240</v>
      </c>
      <c r="I615" s="1199" t="s">
        <v>263</v>
      </c>
      <c r="J615" s="1204" t="s">
        <v>462</v>
      </c>
      <c r="K615" s="1199" t="s">
        <v>199</v>
      </c>
      <c r="L615" s="1199" t="s">
        <v>199</v>
      </c>
      <c r="M615" s="672" t="s">
        <v>122</v>
      </c>
      <c r="N615" s="550"/>
      <c r="O615" s="561">
        <f>O616+O617</f>
        <v>0</v>
      </c>
      <c r="P615" s="561">
        <f>P616+P617</f>
        <v>0</v>
      </c>
      <c r="Q615" s="562">
        <f>Q616+Q617</f>
        <v>0</v>
      </c>
      <c r="R615" s="48"/>
      <c r="S615" s="48"/>
      <c r="T615" s="48"/>
      <c r="U615" s="48"/>
      <c r="V615" s="48"/>
    </row>
    <row r="616" spans="2:22" ht="36" customHeight="1" thickBot="1" x14ac:dyDescent="0.3">
      <c r="B616" s="1204"/>
      <c r="C616" s="1199"/>
      <c r="D616" s="609"/>
      <c r="E616" s="1199"/>
      <c r="F616" s="1201"/>
      <c r="G616" s="1201"/>
      <c r="H616" s="1204"/>
      <c r="I616" s="1199"/>
      <c r="J616" s="1204"/>
      <c r="K616" s="1199"/>
      <c r="L616" s="1199"/>
      <c r="M616" s="636" t="s">
        <v>123</v>
      </c>
      <c r="N616" s="549"/>
      <c r="O616" s="544">
        <v>0</v>
      </c>
      <c r="P616" s="544">
        <v>0</v>
      </c>
      <c r="Q616" s="675">
        <v>0</v>
      </c>
      <c r="R616" s="48"/>
      <c r="S616" s="48"/>
      <c r="T616" s="48"/>
      <c r="U616" s="48"/>
      <c r="V616" s="48"/>
    </row>
    <row r="617" spans="2:22" ht="27" customHeight="1" thickBot="1" x14ac:dyDescent="0.3">
      <c r="B617" s="1204"/>
      <c r="C617" s="1199"/>
      <c r="D617" s="609"/>
      <c r="E617" s="1199"/>
      <c r="F617" s="1201"/>
      <c r="G617" s="1201"/>
      <c r="H617" s="1204"/>
      <c r="I617" s="1199"/>
      <c r="J617" s="1204"/>
      <c r="K617" s="1199"/>
      <c r="L617" s="1199"/>
      <c r="M617" s="672" t="s">
        <v>124</v>
      </c>
      <c r="N617" s="550"/>
      <c r="O617" s="544">
        <v>0</v>
      </c>
      <c r="P617" s="544">
        <v>0</v>
      </c>
      <c r="Q617" s="675">
        <v>0</v>
      </c>
      <c r="R617" s="48"/>
      <c r="S617" s="48"/>
      <c r="T617" s="48"/>
      <c r="U617" s="48"/>
      <c r="V617" s="48"/>
    </row>
    <row r="618" spans="2:22" ht="24.75" customHeight="1" thickBot="1" x14ac:dyDescent="0.3">
      <c r="B618" s="1204"/>
      <c r="C618" s="1199"/>
      <c r="D618" s="688"/>
      <c r="E618" s="1199"/>
      <c r="F618" s="1201"/>
      <c r="G618" s="1201"/>
      <c r="H618" s="1204"/>
      <c r="I618" s="1199"/>
      <c r="J618" s="1204"/>
      <c r="K618" s="1199"/>
      <c r="L618" s="1199"/>
      <c r="M618" s="671" t="s">
        <v>745</v>
      </c>
      <c r="N618" s="543"/>
      <c r="O618" s="544">
        <v>1200</v>
      </c>
      <c r="P618" s="544">
        <v>0</v>
      </c>
      <c r="Q618" s="675">
        <v>0</v>
      </c>
      <c r="R618" s="48"/>
      <c r="S618" s="48"/>
      <c r="T618" s="48"/>
      <c r="U618" s="48"/>
      <c r="V618" s="48"/>
    </row>
    <row r="619" spans="2:22" ht="23.25" customHeight="1" thickBot="1" x14ac:dyDescent="0.3">
      <c r="B619" s="1206" t="s">
        <v>173</v>
      </c>
      <c r="C619" s="1207" t="s">
        <v>295</v>
      </c>
      <c r="D619" s="620" t="s">
        <v>288</v>
      </c>
      <c r="E619" s="1207" t="s">
        <v>505</v>
      </c>
      <c r="F619" s="1200" t="s">
        <v>280</v>
      </c>
      <c r="G619" s="1207" t="s">
        <v>116</v>
      </c>
      <c r="H619" s="1206" t="s">
        <v>240</v>
      </c>
      <c r="I619" s="1207" t="s">
        <v>116</v>
      </c>
      <c r="J619" s="1206" t="s">
        <v>462</v>
      </c>
      <c r="K619" s="1207" t="s">
        <v>116</v>
      </c>
      <c r="L619" s="1215" t="s">
        <v>116</v>
      </c>
      <c r="M619" s="542" t="s">
        <v>122</v>
      </c>
      <c r="N619" s="543"/>
      <c r="O619" s="544">
        <f t="shared" ref="O619:Q622" si="16">O623+O627+O631+O635+O639+O643+O647+O651+O655</f>
        <v>8801.2559999999994</v>
      </c>
      <c r="P619" s="544">
        <f t="shared" si="16"/>
        <v>0</v>
      </c>
      <c r="Q619" s="675">
        <f t="shared" si="16"/>
        <v>0</v>
      </c>
      <c r="R619" s="48"/>
      <c r="S619" s="48"/>
      <c r="T619" s="48"/>
      <c r="U619" s="48"/>
      <c r="V619" s="48"/>
    </row>
    <row r="620" spans="2:22" ht="23.25" customHeight="1" thickBot="1" x14ac:dyDescent="0.3">
      <c r="B620" s="1204"/>
      <c r="C620" s="1199"/>
      <c r="D620" s="609"/>
      <c r="E620" s="1199"/>
      <c r="F620" s="1201"/>
      <c r="G620" s="1199"/>
      <c r="H620" s="1204"/>
      <c r="I620" s="1199"/>
      <c r="J620" s="1204"/>
      <c r="K620" s="1199"/>
      <c r="L620" s="1192"/>
      <c r="M620" s="636" t="s">
        <v>123</v>
      </c>
      <c r="N620" s="549"/>
      <c r="O620" s="544">
        <f t="shared" si="16"/>
        <v>0</v>
      </c>
      <c r="P620" s="544">
        <f t="shared" si="16"/>
        <v>0</v>
      </c>
      <c r="Q620" s="675">
        <f t="shared" si="16"/>
        <v>0</v>
      </c>
      <c r="R620" s="48"/>
      <c r="S620" s="48"/>
      <c r="T620" s="48"/>
      <c r="U620" s="48"/>
      <c r="V620" s="48"/>
    </row>
    <row r="621" spans="2:22" ht="24.75" customHeight="1" thickBot="1" x14ac:dyDescent="0.3">
      <c r="B621" s="1204"/>
      <c r="C621" s="1199"/>
      <c r="D621" s="609"/>
      <c r="E621" s="1199"/>
      <c r="F621" s="1201"/>
      <c r="G621" s="1199"/>
      <c r="H621" s="1204"/>
      <c r="I621" s="1199"/>
      <c r="J621" s="1204"/>
      <c r="K621" s="1199"/>
      <c r="L621" s="1192"/>
      <c r="M621" s="672" t="s">
        <v>124</v>
      </c>
      <c r="N621" s="550"/>
      <c r="O621" s="544">
        <f t="shared" si="16"/>
        <v>8801.2559999999994</v>
      </c>
      <c r="P621" s="544">
        <f t="shared" si="16"/>
        <v>0</v>
      </c>
      <c r="Q621" s="675">
        <f t="shared" si="16"/>
        <v>0</v>
      </c>
      <c r="R621" s="48"/>
      <c r="S621" s="48"/>
      <c r="T621" s="48"/>
      <c r="U621" s="48"/>
      <c r="V621" s="48"/>
    </row>
    <row r="622" spans="2:22" ht="23.25" customHeight="1" thickBot="1" x14ac:dyDescent="0.3">
      <c r="B622" s="1205"/>
      <c r="C622" s="1208"/>
      <c r="D622" s="628"/>
      <c r="E622" s="1208"/>
      <c r="F622" s="1202"/>
      <c r="G622" s="1208"/>
      <c r="H622" s="1205"/>
      <c r="I622" s="1208"/>
      <c r="J622" s="1205"/>
      <c r="K622" s="1208"/>
      <c r="L622" s="1216"/>
      <c r="M622" s="547" t="s">
        <v>745</v>
      </c>
      <c r="N622" s="549"/>
      <c r="O622" s="551">
        <f t="shared" si="16"/>
        <v>34301.423999999999</v>
      </c>
      <c r="P622" s="551">
        <f t="shared" si="16"/>
        <v>0</v>
      </c>
      <c r="Q622" s="552">
        <f t="shared" si="16"/>
        <v>0</v>
      </c>
      <c r="R622" s="48"/>
      <c r="S622" s="48"/>
      <c r="T622" s="48"/>
      <c r="U622" s="48"/>
      <c r="V622" s="48"/>
    </row>
    <row r="623" spans="2:22" ht="28.5" customHeight="1" thickBot="1" x14ac:dyDescent="0.3">
      <c r="B623" s="1204" t="s">
        <v>173</v>
      </c>
      <c r="C623" s="1199" t="s">
        <v>295</v>
      </c>
      <c r="D623" s="689" t="s">
        <v>288</v>
      </c>
      <c r="E623" s="1199" t="s">
        <v>505</v>
      </c>
      <c r="F623" s="1267" t="s">
        <v>817</v>
      </c>
      <c r="G623" s="1267" t="s">
        <v>548</v>
      </c>
      <c r="H623" s="1204" t="s">
        <v>240</v>
      </c>
      <c r="I623" s="1199">
        <v>1</v>
      </c>
      <c r="J623" s="1204" t="s">
        <v>462</v>
      </c>
      <c r="K623" s="1199" t="s">
        <v>199</v>
      </c>
      <c r="L623" s="1199" t="s">
        <v>199</v>
      </c>
      <c r="M623" s="672" t="s">
        <v>122</v>
      </c>
      <c r="N623" s="550"/>
      <c r="O623" s="561">
        <f>O624+O625</f>
        <v>0</v>
      </c>
      <c r="P623" s="561">
        <f>P624+P625</f>
        <v>0</v>
      </c>
      <c r="Q623" s="562">
        <f>Q624+Q625</f>
        <v>0</v>
      </c>
      <c r="R623" s="48"/>
      <c r="S623" s="48"/>
      <c r="T623" s="48"/>
      <c r="U623" s="48"/>
      <c r="V623" s="48"/>
    </row>
    <row r="624" spans="2:22" ht="27" customHeight="1" thickBot="1" x14ac:dyDescent="0.3">
      <c r="B624" s="1204"/>
      <c r="C624" s="1199"/>
      <c r="D624" s="609"/>
      <c r="E624" s="1199"/>
      <c r="F624" s="1267"/>
      <c r="G624" s="1267"/>
      <c r="H624" s="1204"/>
      <c r="I624" s="1199"/>
      <c r="J624" s="1204"/>
      <c r="K624" s="1199"/>
      <c r="L624" s="1199"/>
      <c r="M624" s="636" t="s">
        <v>123</v>
      </c>
      <c r="N624" s="549"/>
      <c r="O624" s="544">
        <v>0</v>
      </c>
      <c r="P624" s="544">
        <v>0</v>
      </c>
      <c r="Q624" s="675">
        <v>0</v>
      </c>
      <c r="R624" s="48"/>
      <c r="S624" s="48"/>
      <c r="T624" s="48"/>
      <c r="U624" s="48"/>
      <c r="V624" s="48"/>
    </row>
    <row r="625" spans="2:22" ht="24" customHeight="1" thickBot="1" x14ac:dyDescent="0.3">
      <c r="B625" s="1204"/>
      <c r="C625" s="1199"/>
      <c r="D625" s="609"/>
      <c r="E625" s="1199"/>
      <c r="F625" s="1267"/>
      <c r="G625" s="1267"/>
      <c r="H625" s="1204"/>
      <c r="I625" s="1199"/>
      <c r="J625" s="1204"/>
      <c r="K625" s="1199"/>
      <c r="L625" s="1199"/>
      <c r="M625" s="672" t="s">
        <v>124</v>
      </c>
      <c r="N625" s="550"/>
      <c r="O625" s="544">
        <v>0</v>
      </c>
      <c r="P625" s="544">
        <v>0</v>
      </c>
      <c r="Q625" s="675">
        <v>0</v>
      </c>
      <c r="R625" s="48"/>
      <c r="S625" s="48"/>
      <c r="T625" s="48"/>
      <c r="U625" s="48"/>
      <c r="V625" s="48"/>
    </row>
    <row r="626" spans="2:22" ht="24" customHeight="1" thickBot="1" x14ac:dyDescent="0.3">
      <c r="B626" s="1241"/>
      <c r="C626" s="1199"/>
      <c r="D626" s="688"/>
      <c r="E626" s="1199"/>
      <c r="F626" s="1267"/>
      <c r="G626" s="1267"/>
      <c r="H626" s="1204"/>
      <c r="I626" s="1199"/>
      <c r="J626" s="1204"/>
      <c r="K626" s="1199"/>
      <c r="L626" s="1199"/>
      <c r="M626" s="671" t="s">
        <v>745</v>
      </c>
      <c r="N626" s="543"/>
      <c r="O626" s="544">
        <v>3078.806</v>
      </c>
      <c r="P626" s="544">
        <v>0</v>
      </c>
      <c r="Q626" s="675">
        <v>0</v>
      </c>
      <c r="R626" s="48"/>
      <c r="S626" s="48"/>
      <c r="T626" s="48"/>
      <c r="U626" s="48"/>
      <c r="V626" s="48"/>
    </row>
    <row r="627" spans="2:22" ht="24.75" customHeight="1" thickBot="1" x14ac:dyDescent="0.3">
      <c r="B627" s="1240" t="s">
        <v>173</v>
      </c>
      <c r="C627" s="1207" t="s">
        <v>295</v>
      </c>
      <c r="D627" s="620" t="s">
        <v>288</v>
      </c>
      <c r="E627" s="1207" t="s">
        <v>505</v>
      </c>
      <c r="F627" s="1200" t="s">
        <v>818</v>
      </c>
      <c r="G627" s="1200" t="s">
        <v>767</v>
      </c>
      <c r="H627" s="1206" t="s">
        <v>240</v>
      </c>
      <c r="I627" s="1207" t="s">
        <v>263</v>
      </c>
      <c r="J627" s="1206" t="s">
        <v>462</v>
      </c>
      <c r="K627" s="1207" t="s">
        <v>199</v>
      </c>
      <c r="L627" s="1207" t="s">
        <v>199</v>
      </c>
      <c r="M627" s="542" t="s">
        <v>122</v>
      </c>
      <c r="N627" s="543"/>
      <c r="O627" s="544">
        <f>O628+O629</f>
        <v>0</v>
      </c>
      <c r="P627" s="544">
        <f>P628+P629</f>
        <v>0</v>
      </c>
      <c r="Q627" s="675">
        <f>Q628+Q629</f>
        <v>0</v>
      </c>
      <c r="R627" s="48"/>
      <c r="S627" s="48"/>
      <c r="T627" s="48"/>
      <c r="U627" s="48"/>
      <c r="V627" s="48"/>
    </row>
    <row r="628" spans="2:22" ht="23.25" customHeight="1" thickBot="1" x14ac:dyDescent="0.3">
      <c r="B628" s="1204"/>
      <c r="C628" s="1199"/>
      <c r="D628" s="609"/>
      <c r="E628" s="1199"/>
      <c r="F628" s="1201"/>
      <c r="G628" s="1201"/>
      <c r="H628" s="1204"/>
      <c r="I628" s="1199"/>
      <c r="J628" s="1204"/>
      <c r="K628" s="1199"/>
      <c r="L628" s="1199"/>
      <c r="M628" s="636" t="s">
        <v>123</v>
      </c>
      <c r="N628" s="549"/>
      <c r="O628" s="544">
        <v>0</v>
      </c>
      <c r="P628" s="544">
        <v>0</v>
      </c>
      <c r="Q628" s="675">
        <v>0</v>
      </c>
      <c r="R628" s="48"/>
      <c r="S628" s="48"/>
      <c r="T628" s="48"/>
      <c r="U628" s="48"/>
      <c r="V628" s="48"/>
    </row>
    <row r="629" spans="2:22" ht="25.5" customHeight="1" thickBot="1" x14ac:dyDescent="0.3">
      <c r="B629" s="1204"/>
      <c r="C629" s="1199"/>
      <c r="D629" s="609"/>
      <c r="E629" s="1199"/>
      <c r="F629" s="1201"/>
      <c r="G629" s="1201"/>
      <c r="H629" s="1204"/>
      <c r="I629" s="1199"/>
      <c r="J629" s="1204"/>
      <c r="K629" s="1199"/>
      <c r="L629" s="1199"/>
      <c r="M629" s="672" t="s">
        <v>124</v>
      </c>
      <c r="N629" s="550"/>
      <c r="O629" s="544">
        <v>0</v>
      </c>
      <c r="P629" s="544">
        <v>0</v>
      </c>
      <c r="Q629" s="675">
        <v>0</v>
      </c>
      <c r="R629" s="48"/>
      <c r="S629" s="48"/>
      <c r="T629" s="48"/>
      <c r="U629" s="48"/>
      <c r="V629" s="48"/>
    </row>
    <row r="630" spans="2:22" ht="24" customHeight="1" thickBot="1" x14ac:dyDescent="0.3">
      <c r="B630" s="1204"/>
      <c r="C630" s="1199"/>
      <c r="D630" s="688"/>
      <c r="E630" s="1199"/>
      <c r="F630" s="1201"/>
      <c r="G630" s="1201"/>
      <c r="H630" s="1204"/>
      <c r="I630" s="1199"/>
      <c r="J630" s="1204"/>
      <c r="K630" s="1199"/>
      <c r="L630" s="1199"/>
      <c r="M630" s="671" t="s">
        <v>745</v>
      </c>
      <c r="N630" s="543"/>
      <c r="O630" s="544">
        <v>400</v>
      </c>
      <c r="P630" s="544">
        <v>0</v>
      </c>
      <c r="Q630" s="675">
        <v>0</v>
      </c>
      <c r="R630" s="48"/>
      <c r="S630" s="48"/>
      <c r="T630" s="48"/>
      <c r="U630" s="48"/>
      <c r="V630" s="48"/>
    </row>
    <row r="631" spans="2:22" ht="258" customHeight="1" thickBot="1" x14ac:dyDescent="0.3">
      <c r="B631" s="1206" t="s">
        <v>173</v>
      </c>
      <c r="C631" s="1207" t="s">
        <v>295</v>
      </c>
      <c r="D631" s="620" t="s">
        <v>288</v>
      </c>
      <c r="E631" s="1207" t="s">
        <v>505</v>
      </c>
      <c r="F631" s="1200" t="s">
        <v>768</v>
      </c>
      <c r="G631" s="1200" t="s">
        <v>435</v>
      </c>
      <c r="H631" s="1206" t="s">
        <v>240</v>
      </c>
      <c r="I631" s="1207" t="s">
        <v>664</v>
      </c>
      <c r="J631" s="1206" t="s">
        <v>462</v>
      </c>
      <c r="K631" s="1207" t="s">
        <v>199</v>
      </c>
      <c r="L631" s="1207" t="s">
        <v>199</v>
      </c>
      <c r="M631" s="542" t="s">
        <v>122</v>
      </c>
      <c r="N631" s="543"/>
      <c r="O631" s="544">
        <f>O632+O633</f>
        <v>0</v>
      </c>
      <c r="P631" s="544">
        <f>P632+P633</f>
        <v>0</v>
      </c>
      <c r="Q631" s="675">
        <f>Q632+Q633</f>
        <v>0</v>
      </c>
      <c r="R631" s="48"/>
      <c r="S631" s="48"/>
      <c r="T631" s="48"/>
      <c r="U631" s="48"/>
      <c r="V631" s="48"/>
    </row>
    <row r="632" spans="2:22" ht="30.75" customHeight="1" thickBot="1" x14ac:dyDescent="0.3">
      <c r="B632" s="1204"/>
      <c r="C632" s="1199"/>
      <c r="D632" s="609"/>
      <c r="E632" s="1199"/>
      <c r="F632" s="1201"/>
      <c r="G632" s="1201"/>
      <c r="H632" s="1204"/>
      <c r="I632" s="1199"/>
      <c r="J632" s="1204"/>
      <c r="K632" s="1199"/>
      <c r="L632" s="1199"/>
      <c r="M632" s="636" t="s">
        <v>123</v>
      </c>
      <c r="N632" s="549"/>
      <c r="O632" s="544">
        <v>0</v>
      </c>
      <c r="P632" s="544">
        <v>0</v>
      </c>
      <c r="Q632" s="675">
        <v>0</v>
      </c>
      <c r="R632" s="48"/>
      <c r="S632" s="48"/>
      <c r="T632" s="48"/>
      <c r="U632" s="48"/>
      <c r="V632" s="48"/>
    </row>
    <row r="633" spans="2:22" ht="27.75" customHeight="1" thickBot="1" x14ac:dyDescent="0.3">
      <c r="B633" s="1204"/>
      <c r="C633" s="1199"/>
      <c r="D633" s="609"/>
      <c r="E633" s="1199"/>
      <c r="F633" s="1201"/>
      <c r="G633" s="1201"/>
      <c r="H633" s="1204"/>
      <c r="I633" s="1199"/>
      <c r="J633" s="1204"/>
      <c r="K633" s="1199"/>
      <c r="L633" s="1199"/>
      <c r="M633" s="672" t="s">
        <v>124</v>
      </c>
      <c r="N633" s="550"/>
      <c r="O633" s="544">
        <v>0</v>
      </c>
      <c r="P633" s="544">
        <v>0</v>
      </c>
      <c r="Q633" s="675">
        <v>0</v>
      </c>
      <c r="R633" s="48"/>
      <c r="S633" s="48"/>
      <c r="T633" s="48"/>
      <c r="U633" s="48"/>
      <c r="V633" s="48"/>
    </row>
    <row r="634" spans="2:22" ht="30" customHeight="1" thickBot="1" x14ac:dyDescent="0.3">
      <c r="B634" s="1205"/>
      <c r="C634" s="1208"/>
      <c r="D634" s="628"/>
      <c r="E634" s="1208"/>
      <c r="F634" s="1202"/>
      <c r="G634" s="1202"/>
      <c r="H634" s="1205"/>
      <c r="I634" s="1208"/>
      <c r="J634" s="1205"/>
      <c r="K634" s="1208"/>
      <c r="L634" s="1208"/>
      <c r="M634" s="547" t="s">
        <v>745</v>
      </c>
      <c r="N634" s="549"/>
      <c r="O634" s="551">
        <v>6177.54</v>
      </c>
      <c r="P634" s="551">
        <v>0</v>
      </c>
      <c r="Q634" s="552">
        <v>0</v>
      </c>
      <c r="R634" s="48"/>
      <c r="S634" s="48"/>
      <c r="T634" s="48"/>
      <c r="U634" s="48"/>
      <c r="V634" s="48"/>
    </row>
    <row r="635" spans="2:22" ht="63.75" customHeight="1" thickBot="1" x14ac:dyDescent="0.3">
      <c r="B635" s="1204" t="s">
        <v>173</v>
      </c>
      <c r="C635" s="1199" t="s">
        <v>291</v>
      </c>
      <c r="D635" s="689" t="s">
        <v>288</v>
      </c>
      <c r="E635" s="1199" t="s">
        <v>505</v>
      </c>
      <c r="F635" s="1201" t="s">
        <v>769</v>
      </c>
      <c r="G635" s="1201" t="s">
        <v>190</v>
      </c>
      <c r="H635" s="1209" t="s">
        <v>240</v>
      </c>
      <c r="I635" s="1199" t="s">
        <v>263</v>
      </c>
      <c r="J635" s="1204" t="s">
        <v>462</v>
      </c>
      <c r="K635" s="1199" t="s">
        <v>199</v>
      </c>
      <c r="L635" s="1199" t="s">
        <v>199</v>
      </c>
      <c r="M635" s="672" t="s">
        <v>122</v>
      </c>
      <c r="N635" s="550"/>
      <c r="O635" s="561">
        <f>O636+O637</f>
        <v>0</v>
      </c>
      <c r="P635" s="561">
        <f>P636+P637</f>
        <v>0</v>
      </c>
      <c r="Q635" s="562">
        <f>Q636+Q637</f>
        <v>0</v>
      </c>
      <c r="R635" s="48"/>
      <c r="S635" s="48"/>
      <c r="T635" s="48"/>
      <c r="U635" s="48"/>
      <c r="V635" s="48"/>
    </row>
    <row r="636" spans="2:22" ht="23.25" customHeight="1" thickBot="1" x14ac:dyDescent="0.3">
      <c r="B636" s="1204"/>
      <c r="C636" s="1199"/>
      <c r="D636" s="609"/>
      <c r="E636" s="1199"/>
      <c r="F636" s="1201"/>
      <c r="G636" s="1201"/>
      <c r="H636" s="1209"/>
      <c r="I636" s="1199"/>
      <c r="J636" s="1204"/>
      <c r="K636" s="1199"/>
      <c r="L636" s="1199"/>
      <c r="M636" s="636" t="s">
        <v>123</v>
      </c>
      <c r="N636" s="549"/>
      <c r="O636" s="544">
        <v>0</v>
      </c>
      <c r="P636" s="544">
        <v>0</v>
      </c>
      <c r="Q636" s="675">
        <v>0</v>
      </c>
      <c r="R636" s="48"/>
      <c r="S636" s="48"/>
      <c r="T636" s="48"/>
      <c r="U636" s="48"/>
      <c r="V636" s="48"/>
    </row>
    <row r="637" spans="2:22" ht="24.75" customHeight="1" thickBot="1" x14ac:dyDescent="0.3">
      <c r="B637" s="1204"/>
      <c r="C637" s="1199"/>
      <c r="D637" s="609"/>
      <c r="E637" s="1199"/>
      <c r="F637" s="1201"/>
      <c r="G637" s="1201"/>
      <c r="H637" s="1209"/>
      <c r="I637" s="1199"/>
      <c r="J637" s="1204"/>
      <c r="K637" s="1199"/>
      <c r="L637" s="1199"/>
      <c r="M637" s="672" t="s">
        <v>124</v>
      </c>
      <c r="N637" s="550"/>
      <c r="O637" s="544">
        <v>0</v>
      </c>
      <c r="P637" s="544">
        <v>0</v>
      </c>
      <c r="Q637" s="675">
        <v>0</v>
      </c>
      <c r="R637" s="48"/>
      <c r="S637" s="48"/>
      <c r="T637" s="48"/>
      <c r="U637" s="48"/>
      <c r="V637" s="48"/>
    </row>
    <row r="638" spans="2:22" ht="25.5" customHeight="1" thickBot="1" x14ac:dyDescent="0.3">
      <c r="B638" s="1204"/>
      <c r="C638" s="1199"/>
      <c r="D638" s="688"/>
      <c r="E638" s="1199"/>
      <c r="F638" s="1201"/>
      <c r="G638" s="1201"/>
      <c r="H638" s="1209"/>
      <c r="I638" s="1199"/>
      <c r="J638" s="1204"/>
      <c r="K638" s="1199"/>
      <c r="L638" s="1199"/>
      <c r="M638" s="671" t="s">
        <v>745</v>
      </c>
      <c r="N638" s="543"/>
      <c r="O638" s="544">
        <v>10320.275</v>
      </c>
      <c r="P638" s="544">
        <v>0</v>
      </c>
      <c r="Q638" s="675">
        <v>0</v>
      </c>
      <c r="R638" s="48"/>
      <c r="S638" s="48"/>
      <c r="T638" s="48"/>
      <c r="U638" s="48"/>
      <c r="V638" s="48"/>
    </row>
    <row r="639" spans="2:22" ht="94.5" customHeight="1" thickBot="1" x14ac:dyDescent="0.3">
      <c r="B639" s="1206" t="s">
        <v>173</v>
      </c>
      <c r="C639" s="1207" t="s">
        <v>291</v>
      </c>
      <c r="D639" s="620" t="s">
        <v>288</v>
      </c>
      <c r="E639" s="1207" t="s">
        <v>505</v>
      </c>
      <c r="F639" s="1200" t="s">
        <v>819</v>
      </c>
      <c r="G639" s="1200" t="s">
        <v>190</v>
      </c>
      <c r="H639" s="1232" t="s">
        <v>240</v>
      </c>
      <c r="I639" s="1207" t="s">
        <v>263</v>
      </c>
      <c r="J639" s="1206" t="s">
        <v>462</v>
      </c>
      <c r="K639" s="1207" t="s">
        <v>199</v>
      </c>
      <c r="L639" s="1207" t="s">
        <v>199</v>
      </c>
      <c r="M639" s="542" t="s">
        <v>122</v>
      </c>
      <c r="N639" s="543"/>
      <c r="O639" s="544">
        <f>O640+O641</f>
        <v>0</v>
      </c>
      <c r="P639" s="544">
        <f>P640+P641</f>
        <v>0</v>
      </c>
      <c r="Q639" s="675">
        <f>Q640+Q641</f>
        <v>0</v>
      </c>
      <c r="R639" s="48"/>
      <c r="S639" s="48"/>
      <c r="T639" s="48"/>
      <c r="U639" s="48"/>
      <c r="V639" s="48"/>
    </row>
    <row r="640" spans="2:22" ht="21.75" customHeight="1" thickBot="1" x14ac:dyDescent="0.3">
      <c r="B640" s="1204"/>
      <c r="C640" s="1199"/>
      <c r="D640" s="609"/>
      <c r="E640" s="1199"/>
      <c r="F640" s="1201"/>
      <c r="G640" s="1201"/>
      <c r="H640" s="1209"/>
      <c r="I640" s="1199"/>
      <c r="J640" s="1204"/>
      <c r="K640" s="1199"/>
      <c r="L640" s="1199"/>
      <c r="M640" s="636" t="s">
        <v>123</v>
      </c>
      <c r="N640" s="549"/>
      <c r="O640" s="544">
        <v>0</v>
      </c>
      <c r="P640" s="544">
        <v>0</v>
      </c>
      <c r="Q640" s="675">
        <v>0</v>
      </c>
      <c r="R640" s="48"/>
      <c r="S640" s="48"/>
      <c r="T640" s="48"/>
      <c r="U640" s="48"/>
      <c r="V640" s="48"/>
    </row>
    <row r="641" spans="2:22" ht="23.25" customHeight="1" thickBot="1" x14ac:dyDescent="0.3">
      <c r="B641" s="1204"/>
      <c r="C641" s="1199"/>
      <c r="D641" s="609"/>
      <c r="E641" s="1199"/>
      <c r="F641" s="1201"/>
      <c r="G641" s="1201"/>
      <c r="H641" s="1209"/>
      <c r="I641" s="1199"/>
      <c r="J641" s="1204"/>
      <c r="K641" s="1199"/>
      <c r="L641" s="1199"/>
      <c r="M641" s="672" t="s">
        <v>124</v>
      </c>
      <c r="N641" s="550"/>
      <c r="O641" s="544">
        <v>0</v>
      </c>
      <c r="P641" s="544">
        <v>0</v>
      </c>
      <c r="Q641" s="675">
        <v>0</v>
      </c>
      <c r="R641" s="48"/>
      <c r="S641" s="48"/>
      <c r="T641" s="48"/>
      <c r="U641" s="48"/>
      <c r="V641" s="48"/>
    </row>
    <row r="642" spans="2:22" ht="24.75" customHeight="1" thickBot="1" x14ac:dyDescent="0.3">
      <c r="B642" s="1205"/>
      <c r="C642" s="1208"/>
      <c r="D642" s="628"/>
      <c r="E642" s="1208"/>
      <c r="F642" s="1202"/>
      <c r="G642" s="1202"/>
      <c r="H642" s="1210"/>
      <c r="I642" s="1208"/>
      <c r="J642" s="1205"/>
      <c r="K642" s="1208"/>
      <c r="L642" s="1208"/>
      <c r="M642" s="547" t="s">
        <v>745</v>
      </c>
      <c r="N642" s="549"/>
      <c r="O642" s="551">
        <f>1562.81+6663.99+4119.53+143.733</f>
        <v>12490.062999999998</v>
      </c>
      <c r="P642" s="551">
        <v>0</v>
      </c>
      <c r="Q642" s="552">
        <v>0</v>
      </c>
      <c r="R642" s="48"/>
      <c r="S642" s="48"/>
      <c r="T642" s="48"/>
      <c r="U642" s="48"/>
      <c r="V642" s="48"/>
    </row>
    <row r="643" spans="2:22" ht="27" customHeight="1" thickBot="1" x14ac:dyDescent="0.3">
      <c r="B643" s="1204" t="s">
        <v>173</v>
      </c>
      <c r="C643" s="1199" t="s">
        <v>291</v>
      </c>
      <c r="D643" s="689" t="s">
        <v>288</v>
      </c>
      <c r="E643" s="1199" t="s">
        <v>505</v>
      </c>
      <c r="F643" s="1201" t="s">
        <v>820</v>
      </c>
      <c r="G643" s="1201" t="s">
        <v>190</v>
      </c>
      <c r="H643" s="1209" t="s">
        <v>240</v>
      </c>
      <c r="I643" s="1199" t="s">
        <v>263</v>
      </c>
      <c r="J643" s="1204" t="s">
        <v>462</v>
      </c>
      <c r="K643" s="1199" t="s">
        <v>199</v>
      </c>
      <c r="L643" s="1199" t="s">
        <v>199</v>
      </c>
      <c r="M643" s="672" t="s">
        <v>122</v>
      </c>
      <c r="N643" s="550"/>
      <c r="O643" s="561">
        <f>O644+O645</f>
        <v>0</v>
      </c>
      <c r="P643" s="561">
        <f>P644+P645</f>
        <v>0</v>
      </c>
      <c r="Q643" s="562">
        <f>Q644+Q645</f>
        <v>0</v>
      </c>
      <c r="R643" s="48"/>
      <c r="S643" s="48"/>
      <c r="T643" s="48"/>
      <c r="U643" s="48"/>
      <c r="V643" s="48"/>
    </row>
    <row r="644" spans="2:22" ht="25.5" customHeight="1" thickBot="1" x14ac:dyDescent="0.3">
      <c r="B644" s="1204"/>
      <c r="C644" s="1199"/>
      <c r="D644" s="609"/>
      <c r="E644" s="1199"/>
      <c r="F644" s="1201"/>
      <c r="G644" s="1201"/>
      <c r="H644" s="1209"/>
      <c r="I644" s="1199"/>
      <c r="J644" s="1204"/>
      <c r="K644" s="1199"/>
      <c r="L644" s="1199"/>
      <c r="M644" s="636" t="s">
        <v>123</v>
      </c>
      <c r="N644" s="549"/>
      <c r="O644" s="544">
        <v>0</v>
      </c>
      <c r="P644" s="544">
        <v>0</v>
      </c>
      <c r="Q644" s="675">
        <v>0</v>
      </c>
      <c r="R644" s="48"/>
      <c r="S644" s="48"/>
      <c r="T644" s="48"/>
      <c r="U644" s="48"/>
      <c r="V644" s="48"/>
    </row>
    <row r="645" spans="2:22" ht="27" customHeight="1" thickBot="1" x14ac:dyDescent="0.3">
      <c r="B645" s="1204"/>
      <c r="C645" s="1199"/>
      <c r="D645" s="609"/>
      <c r="E645" s="1199"/>
      <c r="F645" s="1201"/>
      <c r="G645" s="1201"/>
      <c r="H645" s="1209"/>
      <c r="I645" s="1199"/>
      <c r="J645" s="1204"/>
      <c r="K645" s="1199"/>
      <c r="L645" s="1199"/>
      <c r="M645" s="672" t="s">
        <v>124</v>
      </c>
      <c r="N645" s="550"/>
      <c r="O645" s="544">
        <v>0</v>
      </c>
      <c r="P645" s="544">
        <v>0</v>
      </c>
      <c r="Q645" s="675">
        <v>0</v>
      </c>
      <c r="R645" s="48"/>
      <c r="S645" s="48"/>
      <c r="T645" s="48"/>
      <c r="U645" s="48"/>
      <c r="V645" s="48"/>
    </row>
    <row r="646" spans="2:22" ht="29.25" customHeight="1" thickBot="1" x14ac:dyDescent="0.3">
      <c r="B646" s="1204"/>
      <c r="C646" s="1199"/>
      <c r="D646" s="688"/>
      <c r="E646" s="1199"/>
      <c r="F646" s="1201"/>
      <c r="G646" s="1201"/>
      <c r="H646" s="1209"/>
      <c r="I646" s="1199"/>
      <c r="J646" s="1204"/>
      <c r="K646" s="1199"/>
      <c r="L646" s="1199"/>
      <c r="M646" s="671" t="s">
        <v>745</v>
      </c>
      <c r="N646" s="543"/>
      <c r="O646" s="544">
        <v>301.10000000000002</v>
      </c>
      <c r="P646" s="544">
        <v>0</v>
      </c>
      <c r="Q646" s="675">
        <v>0</v>
      </c>
      <c r="R646" s="48"/>
      <c r="S646" s="48"/>
      <c r="T646" s="48"/>
      <c r="U646" s="48"/>
      <c r="V646" s="48"/>
    </row>
    <row r="647" spans="2:22" ht="51" customHeight="1" thickBot="1" x14ac:dyDescent="0.3">
      <c r="B647" s="1206" t="s">
        <v>173</v>
      </c>
      <c r="C647" s="1207" t="s">
        <v>291</v>
      </c>
      <c r="D647" s="620" t="s">
        <v>288</v>
      </c>
      <c r="E647" s="1207" t="s">
        <v>505</v>
      </c>
      <c r="F647" s="1200" t="s">
        <v>770</v>
      </c>
      <c r="G647" s="1200" t="s">
        <v>190</v>
      </c>
      <c r="H647" s="1232" t="s">
        <v>240</v>
      </c>
      <c r="I647" s="1207" t="s">
        <v>263</v>
      </c>
      <c r="J647" s="1206" t="s">
        <v>462</v>
      </c>
      <c r="K647" s="1207" t="s">
        <v>199</v>
      </c>
      <c r="L647" s="1207" t="s">
        <v>199</v>
      </c>
      <c r="M647" s="542" t="s">
        <v>122</v>
      </c>
      <c r="N647" s="543"/>
      <c r="O647" s="544">
        <f>O648+O649</f>
        <v>0</v>
      </c>
      <c r="P647" s="544">
        <f>P648+P649</f>
        <v>0</v>
      </c>
      <c r="Q647" s="675">
        <f>Q648+Q649</f>
        <v>0</v>
      </c>
      <c r="R647" s="48"/>
      <c r="S647" s="48"/>
      <c r="T647" s="48"/>
      <c r="U647" s="48"/>
      <c r="V647" s="48"/>
    </row>
    <row r="648" spans="2:22" ht="22.5" customHeight="1" thickBot="1" x14ac:dyDescent="0.3">
      <c r="B648" s="1204"/>
      <c r="C648" s="1199"/>
      <c r="D648" s="609"/>
      <c r="E648" s="1199"/>
      <c r="F648" s="1201"/>
      <c r="G648" s="1201"/>
      <c r="H648" s="1209"/>
      <c r="I648" s="1199"/>
      <c r="J648" s="1204"/>
      <c r="K648" s="1199"/>
      <c r="L648" s="1199"/>
      <c r="M648" s="636" t="s">
        <v>123</v>
      </c>
      <c r="N648" s="549"/>
      <c r="O648" s="544">
        <v>0</v>
      </c>
      <c r="P648" s="544">
        <v>0</v>
      </c>
      <c r="Q648" s="675">
        <v>0</v>
      </c>
      <c r="R648" s="48"/>
      <c r="S648" s="48"/>
      <c r="T648" s="48"/>
      <c r="U648" s="48"/>
      <c r="V648" s="48"/>
    </row>
    <row r="649" spans="2:22" ht="24.75" customHeight="1" thickBot="1" x14ac:dyDescent="0.3">
      <c r="B649" s="1204"/>
      <c r="C649" s="1199"/>
      <c r="D649" s="609"/>
      <c r="E649" s="1199"/>
      <c r="F649" s="1201"/>
      <c r="G649" s="1201"/>
      <c r="H649" s="1209"/>
      <c r="I649" s="1199"/>
      <c r="J649" s="1204"/>
      <c r="K649" s="1199"/>
      <c r="L649" s="1199"/>
      <c r="M649" s="672" t="s">
        <v>124</v>
      </c>
      <c r="N649" s="550"/>
      <c r="O649" s="544">
        <v>0</v>
      </c>
      <c r="P649" s="544">
        <v>0</v>
      </c>
      <c r="Q649" s="675">
        <v>0</v>
      </c>
      <c r="R649" s="48"/>
      <c r="S649" s="48"/>
      <c r="T649" s="48"/>
      <c r="U649" s="48"/>
      <c r="V649" s="48"/>
    </row>
    <row r="650" spans="2:22" ht="23.25" customHeight="1" thickBot="1" x14ac:dyDescent="0.3">
      <c r="B650" s="1205"/>
      <c r="C650" s="1208"/>
      <c r="D650" s="628"/>
      <c r="E650" s="1208"/>
      <c r="F650" s="1202"/>
      <c r="G650" s="1202"/>
      <c r="H650" s="1210"/>
      <c r="I650" s="1208"/>
      <c r="J650" s="1205"/>
      <c r="K650" s="1208"/>
      <c r="L650" s="1208"/>
      <c r="M650" s="547" t="s">
        <v>745</v>
      </c>
      <c r="N650" s="549"/>
      <c r="O650" s="551">
        <v>133.63999999999999</v>
      </c>
      <c r="P650" s="551">
        <v>0</v>
      </c>
      <c r="Q650" s="552">
        <v>0</v>
      </c>
      <c r="R650" s="48"/>
      <c r="S650" s="48"/>
      <c r="T650" s="48"/>
      <c r="U650" s="48"/>
      <c r="V650" s="48"/>
    </row>
    <row r="651" spans="2:22" ht="24" customHeight="1" thickBot="1" x14ac:dyDescent="0.3">
      <c r="B651" s="1206" t="s">
        <v>173</v>
      </c>
      <c r="C651" s="1207" t="s">
        <v>291</v>
      </c>
      <c r="D651" s="620" t="s">
        <v>288</v>
      </c>
      <c r="E651" s="1207" t="s">
        <v>505</v>
      </c>
      <c r="F651" s="1200" t="s">
        <v>771</v>
      </c>
      <c r="G651" s="1200" t="s">
        <v>190</v>
      </c>
      <c r="H651" s="1232" t="s">
        <v>240</v>
      </c>
      <c r="I651" s="1207" t="s">
        <v>263</v>
      </c>
      <c r="J651" s="1206" t="s">
        <v>462</v>
      </c>
      <c r="K651" s="1207" t="s">
        <v>199</v>
      </c>
      <c r="L651" s="1207" t="s">
        <v>199</v>
      </c>
      <c r="M651" s="542" t="s">
        <v>122</v>
      </c>
      <c r="N651" s="543"/>
      <c r="O651" s="544">
        <f>O652+O653</f>
        <v>0</v>
      </c>
      <c r="P651" s="544">
        <f>P652+P653+P654</f>
        <v>0</v>
      </c>
      <c r="Q651" s="675">
        <f>Q652+Q653+Q654</f>
        <v>0</v>
      </c>
      <c r="R651" s="48"/>
      <c r="S651" s="48"/>
      <c r="T651" s="48"/>
      <c r="U651" s="48"/>
      <c r="V651" s="48"/>
    </row>
    <row r="652" spans="2:22" ht="21.75" customHeight="1" thickBot="1" x14ac:dyDescent="0.3">
      <c r="B652" s="1204"/>
      <c r="C652" s="1199"/>
      <c r="D652" s="609"/>
      <c r="E652" s="1199"/>
      <c r="F652" s="1201"/>
      <c r="G652" s="1201"/>
      <c r="H652" s="1209"/>
      <c r="I652" s="1199"/>
      <c r="J652" s="1204"/>
      <c r="K652" s="1199"/>
      <c r="L652" s="1199"/>
      <c r="M652" s="636" t="s">
        <v>123</v>
      </c>
      <c r="N652" s="549"/>
      <c r="O652" s="544">
        <v>0</v>
      </c>
      <c r="P652" s="544">
        <v>0</v>
      </c>
      <c r="Q652" s="675">
        <v>0</v>
      </c>
      <c r="R652" s="48"/>
      <c r="S652" s="48"/>
      <c r="T652" s="48"/>
      <c r="U652" s="48"/>
      <c r="V652" s="48"/>
    </row>
    <row r="653" spans="2:22" ht="23.25" customHeight="1" thickBot="1" x14ac:dyDescent="0.3">
      <c r="B653" s="1204"/>
      <c r="C653" s="1199"/>
      <c r="D653" s="609"/>
      <c r="E653" s="1199"/>
      <c r="F653" s="1201"/>
      <c r="G653" s="1201"/>
      <c r="H653" s="1209"/>
      <c r="I653" s="1199"/>
      <c r="J653" s="1204"/>
      <c r="K653" s="1199"/>
      <c r="L653" s="1199"/>
      <c r="M653" s="672" t="s">
        <v>124</v>
      </c>
      <c r="N653" s="550"/>
      <c r="O653" s="544">
        <v>0</v>
      </c>
      <c r="P653" s="544">
        <v>0</v>
      </c>
      <c r="Q653" s="675">
        <v>0</v>
      </c>
      <c r="R653" s="48"/>
      <c r="S653" s="48"/>
      <c r="T653" s="48"/>
      <c r="U653" s="48"/>
      <c r="V653" s="48"/>
    </row>
    <row r="654" spans="2:22" ht="23.25" customHeight="1" thickBot="1" x14ac:dyDescent="0.3">
      <c r="B654" s="1205"/>
      <c r="C654" s="1208"/>
      <c r="D654" s="628"/>
      <c r="E654" s="1208"/>
      <c r="F654" s="1202"/>
      <c r="G654" s="1202"/>
      <c r="H654" s="1210"/>
      <c r="I654" s="1208"/>
      <c r="J654" s="1205"/>
      <c r="K654" s="1208"/>
      <c r="L654" s="1208"/>
      <c r="M654" s="547" t="s">
        <v>745</v>
      </c>
      <c r="N654" s="549"/>
      <c r="O654" s="551">
        <v>1400</v>
      </c>
      <c r="P654" s="551">
        <v>0</v>
      </c>
      <c r="Q654" s="552">
        <v>0</v>
      </c>
      <c r="R654" s="48"/>
      <c r="S654" s="48"/>
      <c r="T654" s="48"/>
      <c r="U654" s="48"/>
      <c r="V654" s="48"/>
    </row>
    <row r="655" spans="2:22" ht="27.75" customHeight="1" thickBot="1" x14ac:dyDescent="0.3">
      <c r="B655" s="1206" t="s">
        <v>173</v>
      </c>
      <c r="C655" s="1207" t="s">
        <v>295</v>
      </c>
      <c r="D655" s="620" t="s">
        <v>288</v>
      </c>
      <c r="E655" s="1207" t="s">
        <v>505</v>
      </c>
      <c r="F655" s="1200" t="s">
        <v>821</v>
      </c>
      <c r="G655" s="1200" t="s">
        <v>548</v>
      </c>
      <c r="H655" s="1206" t="s">
        <v>240</v>
      </c>
      <c r="I655" s="1207">
        <v>3</v>
      </c>
      <c r="J655" s="1206" t="s">
        <v>462</v>
      </c>
      <c r="K655" s="1207" t="s">
        <v>199</v>
      </c>
      <c r="L655" s="1207" t="s">
        <v>199</v>
      </c>
      <c r="M655" s="542" t="s">
        <v>122</v>
      </c>
      <c r="N655" s="543"/>
      <c r="O655" s="544">
        <f>O656+O657+O658</f>
        <v>8801.2559999999994</v>
      </c>
      <c r="P655" s="544">
        <f>P656+P657+P658</f>
        <v>0</v>
      </c>
      <c r="Q655" s="675">
        <f>Q656+Q657+Q658</f>
        <v>0</v>
      </c>
      <c r="R655" s="48"/>
      <c r="S655" s="48"/>
      <c r="T655" s="48"/>
      <c r="U655" s="48"/>
      <c r="V655" s="48"/>
    </row>
    <row r="656" spans="2:22" ht="24.75" customHeight="1" thickBot="1" x14ac:dyDescent="0.3">
      <c r="B656" s="1204"/>
      <c r="C656" s="1199"/>
      <c r="D656" s="688"/>
      <c r="E656" s="1199"/>
      <c r="F656" s="1201"/>
      <c r="G656" s="1201"/>
      <c r="H656" s="1204"/>
      <c r="I656" s="1199"/>
      <c r="J656" s="1204"/>
      <c r="K656" s="1199"/>
      <c r="L656" s="1199"/>
      <c r="M656" s="636" t="s">
        <v>123</v>
      </c>
      <c r="N656" s="549"/>
      <c r="O656" s="544">
        <v>0</v>
      </c>
      <c r="P656" s="544">
        <v>0</v>
      </c>
      <c r="Q656" s="675">
        <v>0</v>
      </c>
      <c r="R656" s="48"/>
      <c r="S656" s="48"/>
      <c r="T656" s="48"/>
      <c r="U656" s="48"/>
      <c r="V656" s="48"/>
    </row>
    <row r="657" spans="2:22" ht="23.25" customHeight="1" thickBot="1" x14ac:dyDescent="0.3">
      <c r="B657" s="1204"/>
      <c r="C657" s="1199"/>
      <c r="D657" s="688"/>
      <c r="E657" s="1199"/>
      <c r="F657" s="1201"/>
      <c r="G657" s="1201"/>
      <c r="H657" s="1204"/>
      <c r="I657" s="1199"/>
      <c r="J657" s="1204"/>
      <c r="K657" s="1199"/>
      <c r="L657" s="1199"/>
      <c r="M657" s="672" t="s">
        <v>124</v>
      </c>
      <c r="N657" s="550"/>
      <c r="O657" s="551">
        <v>8801.2559999999994</v>
      </c>
      <c r="P657" s="551">
        <v>0</v>
      </c>
      <c r="Q657" s="552">
        <v>0</v>
      </c>
      <c r="R657" s="48"/>
      <c r="S657" s="48"/>
      <c r="T657" s="48"/>
      <c r="U657" s="48"/>
      <c r="V657" s="48"/>
    </row>
    <row r="658" spans="2:22" ht="27" customHeight="1" thickBot="1" x14ac:dyDescent="0.3">
      <c r="B658" s="1205"/>
      <c r="C658" s="1208"/>
      <c r="D658" s="628"/>
      <c r="E658" s="1208"/>
      <c r="F658" s="1202"/>
      <c r="G658" s="1202"/>
      <c r="H658" s="1205"/>
      <c r="I658" s="1208"/>
      <c r="J658" s="1205"/>
      <c r="K658" s="1208"/>
      <c r="L658" s="1208"/>
      <c r="M658" s="547" t="s">
        <v>745</v>
      </c>
      <c r="N658" s="549"/>
      <c r="O658" s="551">
        <v>0</v>
      </c>
      <c r="P658" s="551">
        <v>0</v>
      </c>
      <c r="Q658" s="552">
        <v>0</v>
      </c>
      <c r="R658" s="48"/>
      <c r="S658" s="48"/>
      <c r="T658" s="48"/>
      <c r="U658" s="48"/>
      <c r="V658" s="48"/>
    </row>
    <row r="659" spans="2:22" ht="122.25" customHeight="1" thickBot="1" x14ac:dyDescent="0.3">
      <c r="B659" s="1206" t="s">
        <v>174</v>
      </c>
      <c r="C659" s="1229" t="s">
        <v>116</v>
      </c>
      <c r="D659" s="1207" t="s">
        <v>116</v>
      </c>
      <c r="E659" s="1207" t="s">
        <v>116</v>
      </c>
      <c r="F659" s="1229" t="s">
        <v>597</v>
      </c>
      <c r="G659" s="581" t="s">
        <v>258</v>
      </c>
      <c r="H659" s="654" t="s">
        <v>241</v>
      </c>
      <c r="I659" s="593">
        <v>90</v>
      </c>
      <c r="J659" s="1206" t="s">
        <v>462</v>
      </c>
      <c r="K659" s="593">
        <v>90</v>
      </c>
      <c r="L659" s="593">
        <v>90</v>
      </c>
      <c r="M659" s="542" t="s">
        <v>122</v>
      </c>
      <c r="N659" s="1248">
        <f>N665+N677+N693+N700</f>
        <v>0</v>
      </c>
      <c r="O659" s="698">
        <f t="shared" ref="O659:Q662" si="17">O665+O677+O689</f>
        <v>8286.4</v>
      </c>
      <c r="P659" s="698">
        <f t="shared" si="17"/>
        <v>8286.4</v>
      </c>
      <c r="Q659" s="656">
        <f t="shared" si="17"/>
        <v>8286.4</v>
      </c>
      <c r="R659" s="48"/>
      <c r="S659" s="48"/>
      <c r="T659" s="48"/>
      <c r="U659" s="48"/>
      <c r="V659" s="48"/>
    </row>
    <row r="660" spans="2:22" s="48" customFormat="1" ht="114.75" customHeight="1" thickBot="1" x14ac:dyDescent="0.3">
      <c r="B660" s="1204"/>
      <c r="C660" s="1230"/>
      <c r="D660" s="1199"/>
      <c r="E660" s="1199"/>
      <c r="F660" s="1230"/>
      <c r="G660" s="576" t="s">
        <v>219</v>
      </c>
      <c r="H660" s="555" t="s">
        <v>241</v>
      </c>
      <c r="I660" s="594">
        <v>67</v>
      </c>
      <c r="J660" s="1204"/>
      <c r="K660" s="594">
        <v>67</v>
      </c>
      <c r="L660" s="594">
        <v>67</v>
      </c>
      <c r="M660" s="636" t="s">
        <v>123</v>
      </c>
      <c r="N660" s="1249"/>
      <c r="O660" s="699">
        <f t="shared" si="17"/>
        <v>0</v>
      </c>
      <c r="P660" s="699">
        <f t="shared" si="17"/>
        <v>0</v>
      </c>
      <c r="Q660" s="597">
        <f t="shared" si="17"/>
        <v>0</v>
      </c>
    </row>
    <row r="661" spans="2:22" s="48" customFormat="1" ht="51" customHeight="1" thickBot="1" x14ac:dyDescent="0.3">
      <c r="B661" s="1204"/>
      <c r="C661" s="1230"/>
      <c r="D661" s="1199"/>
      <c r="E661" s="1199"/>
      <c r="F661" s="1230"/>
      <c r="G661" s="576" t="s">
        <v>218</v>
      </c>
      <c r="H661" s="555" t="s">
        <v>240</v>
      </c>
      <c r="I661" s="594">
        <v>3</v>
      </c>
      <c r="J661" s="1204"/>
      <c r="K661" s="594">
        <v>3</v>
      </c>
      <c r="L661" s="594">
        <v>3</v>
      </c>
      <c r="M661" s="672" t="s">
        <v>124</v>
      </c>
      <c r="N661" s="1249"/>
      <c r="O661" s="699">
        <f t="shared" si="17"/>
        <v>8286.4</v>
      </c>
      <c r="P661" s="699">
        <f t="shared" si="17"/>
        <v>8286.4</v>
      </c>
      <c r="Q661" s="597">
        <f t="shared" si="17"/>
        <v>8286.4</v>
      </c>
    </row>
    <row r="662" spans="2:22" s="48" customFormat="1" ht="39" customHeight="1" thickBot="1" x14ac:dyDescent="0.3">
      <c r="B662" s="1204"/>
      <c r="C662" s="1230"/>
      <c r="D662" s="1199"/>
      <c r="E662" s="1199"/>
      <c r="F662" s="1230"/>
      <c r="G662" s="576" t="s">
        <v>217</v>
      </c>
      <c r="H662" s="555" t="s">
        <v>240</v>
      </c>
      <c r="I662" s="594">
        <v>2</v>
      </c>
      <c r="J662" s="1204"/>
      <c r="K662" s="594">
        <v>2</v>
      </c>
      <c r="L662" s="594">
        <v>2</v>
      </c>
      <c r="M662" s="547" t="s">
        <v>745</v>
      </c>
      <c r="N662" s="1249"/>
      <c r="O662" s="699">
        <f t="shared" si="17"/>
        <v>0</v>
      </c>
      <c r="P662" s="699">
        <f t="shared" si="17"/>
        <v>0</v>
      </c>
      <c r="Q662" s="597">
        <f t="shared" si="17"/>
        <v>0</v>
      </c>
    </row>
    <row r="663" spans="2:22" s="48" customFormat="1" ht="53.25" customHeight="1" x14ac:dyDescent="0.25">
      <c r="B663" s="1204"/>
      <c r="C663" s="1230"/>
      <c r="D663" s="1199"/>
      <c r="E663" s="1199"/>
      <c r="F663" s="1230"/>
      <c r="G663" s="576" t="s">
        <v>216</v>
      </c>
      <c r="H663" s="555" t="s">
        <v>240</v>
      </c>
      <c r="I663" s="594">
        <v>6</v>
      </c>
      <c r="J663" s="1204"/>
      <c r="K663" s="594">
        <v>6</v>
      </c>
      <c r="L663" s="594">
        <v>6</v>
      </c>
      <c r="M663" s="1206"/>
      <c r="N663" s="1249"/>
      <c r="O663" s="1211"/>
      <c r="P663" s="1211"/>
      <c r="Q663" s="1213"/>
    </row>
    <row r="664" spans="2:22" s="48" customFormat="1" ht="38.25" customHeight="1" thickBot="1" x14ac:dyDescent="0.3">
      <c r="B664" s="1205"/>
      <c r="C664" s="1231"/>
      <c r="D664" s="1208"/>
      <c r="E664" s="1208"/>
      <c r="F664" s="1231"/>
      <c r="G664" s="591" t="s">
        <v>526</v>
      </c>
      <c r="H664" s="558" t="s">
        <v>240</v>
      </c>
      <c r="I664" s="592">
        <v>18</v>
      </c>
      <c r="J664" s="1205"/>
      <c r="K664" s="592">
        <v>18</v>
      </c>
      <c r="L664" s="592">
        <v>18</v>
      </c>
      <c r="M664" s="1205"/>
      <c r="N664" s="1279"/>
      <c r="O664" s="1212"/>
      <c r="P664" s="1212"/>
      <c r="Q664" s="1214"/>
    </row>
    <row r="665" spans="2:22" ht="24" customHeight="1" thickBot="1" x14ac:dyDescent="0.3">
      <c r="B665" s="1204" t="s">
        <v>174</v>
      </c>
      <c r="C665" s="1199" t="s">
        <v>598</v>
      </c>
      <c r="D665" s="689" t="s">
        <v>116</v>
      </c>
      <c r="E665" s="1199" t="s">
        <v>116</v>
      </c>
      <c r="F665" s="1201" t="s">
        <v>298</v>
      </c>
      <c r="G665" s="1201" t="s">
        <v>456</v>
      </c>
      <c r="H665" s="1199" t="s">
        <v>241</v>
      </c>
      <c r="I665" s="1199">
        <f>I669+I673</f>
        <v>146</v>
      </c>
      <c r="J665" s="1204" t="s">
        <v>462</v>
      </c>
      <c r="K665" s="1199">
        <f>K669+K673</f>
        <v>157</v>
      </c>
      <c r="L665" s="1199">
        <f>L669+L673</f>
        <v>157</v>
      </c>
      <c r="M665" s="672" t="s">
        <v>122</v>
      </c>
      <c r="N665" s="550"/>
      <c r="O665" s="561">
        <f>O666+O667+O668</f>
        <v>2336.4</v>
      </c>
      <c r="P665" s="561">
        <f>P666+P667+P668</f>
        <v>2336.4</v>
      </c>
      <c r="Q665" s="562">
        <f>Q666+Q667+Q668</f>
        <v>2336.4</v>
      </c>
      <c r="R665" s="48"/>
      <c r="S665" s="48"/>
      <c r="T665" s="48"/>
      <c r="U665" s="48"/>
      <c r="V665" s="48"/>
    </row>
    <row r="666" spans="2:22" ht="21.75" customHeight="1" thickBot="1" x14ac:dyDescent="0.3">
      <c r="B666" s="1204"/>
      <c r="C666" s="1199"/>
      <c r="D666" s="555"/>
      <c r="E666" s="1199"/>
      <c r="F666" s="1201"/>
      <c r="G666" s="1201"/>
      <c r="H666" s="1199"/>
      <c r="I666" s="1199"/>
      <c r="J666" s="1204"/>
      <c r="K666" s="1199"/>
      <c r="L666" s="1199"/>
      <c r="M666" s="636" t="s">
        <v>123</v>
      </c>
      <c r="N666" s="549"/>
      <c r="O666" s="544">
        <v>0</v>
      </c>
      <c r="P666" s="544">
        <v>0</v>
      </c>
      <c r="Q666" s="675">
        <v>0</v>
      </c>
      <c r="R666" s="48"/>
      <c r="S666" s="48"/>
      <c r="T666" s="48"/>
      <c r="U666" s="48"/>
      <c r="V666" s="48"/>
    </row>
    <row r="667" spans="2:22" ht="22.5" customHeight="1" thickBot="1" x14ac:dyDescent="0.3">
      <c r="B667" s="1204"/>
      <c r="C667" s="1199"/>
      <c r="D667" s="555"/>
      <c r="E667" s="1199"/>
      <c r="F667" s="1201"/>
      <c r="G667" s="1201"/>
      <c r="H667" s="1199"/>
      <c r="I667" s="1199"/>
      <c r="J667" s="1204"/>
      <c r="K667" s="1199"/>
      <c r="L667" s="1199"/>
      <c r="M667" s="672" t="s">
        <v>124</v>
      </c>
      <c r="N667" s="550"/>
      <c r="O667" s="544">
        <f>O671+O675</f>
        <v>2336.4</v>
      </c>
      <c r="P667" s="544">
        <f>P671+P675</f>
        <v>2336.4</v>
      </c>
      <c r="Q667" s="675">
        <f>Q671+Q675</f>
        <v>2336.4</v>
      </c>
      <c r="R667" s="48"/>
      <c r="S667" s="48"/>
      <c r="T667" s="48"/>
      <c r="U667" s="48"/>
      <c r="V667" s="48"/>
    </row>
    <row r="668" spans="2:22" ht="21.75" customHeight="1" thickBot="1" x14ac:dyDescent="0.3">
      <c r="B668" s="1204"/>
      <c r="C668" s="1199"/>
      <c r="D668" s="680"/>
      <c r="E668" s="1199"/>
      <c r="F668" s="1201"/>
      <c r="G668" s="1201"/>
      <c r="H668" s="1199"/>
      <c r="I668" s="1199"/>
      <c r="J668" s="1204"/>
      <c r="K668" s="1199"/>
      <c r="L668" s="1199"/>
      <c r="M668" s="671" t="s">
        <v>745</v>
      </c>
      <c r="N668" s="543"/>
      <c r="O668" s="544">
        <v>0</v>
      </c>
      <c r="P668" s="544">
        <v>0</v>
      </c>
      <c r="Q668" s="675">
        <v>0</v>
      </c>
      <c r="R668" s="48"/>
      <c r="S668" s="48"/>
      <c r="T668" s="48"/>
      <c r="U668" s="48"/>
      <c r="V668" s="48"/>
    </row>
    <row r="669" spans="2:22" ht="57" customHeight="1" thickBot="1" x14ac:dyDescent="0.3">
      <c r="B669" s="1206" t="s">
        <v>174</v>
      </c>
      <c r="C669" s="1207" t="s">
        <v>598</v>
      </c>
      <c r="D669" s="654">
        <v>10108</v>
      </c>
      <c r="E669" s="1207" t="s">
        <v>192</v>
      </c>
      <c r="F669" s="1200" t="s">
        <v>376</v>
      </c>
      <c r="G669" s="1200" t="s">
        <v>677</v>
      </c>
      <c r="H669" s="1207" t="s">
        <v>241</v>
      </c>
      <c r="I669" s="1207">
        <v>90</v>
      </c>
      <c r="J669" s="1206" t="s">
        <v>462</v>
      </c>
      <c r="K669" s="1207">
        <v>90</v>
      </c>
      <c r="L669" s="1207">
        <v>90</v>
      </c>
      <c r="M669" s="542" t="s">
        <v>122</v>
      </c>
      <c r="N669" s="543"/>
      <c r="O669" s="544">
        <f>O670+O671+O672</f>
        <v>1452</v>
      </c>
      <c r="P669" s="544">
        <f>P670+P671+P672</f>
        <v>1452</v>
      </c>
      <c r="Q669" s="675">
        <f>Q670+Q671+Q672</f>
        <v>1452</v>
      </c>
      <c r="R669" s="48"/>
      <c r="S669" s="48"/>
      <c r="T669" s="48"/>
      <c r="U669" s="48"/>
      <c r="V669" s="48"/>
    </row>
    <row r="670" spans="2:22" ht="22.5" customHeight="1" thickBot="1" x14ac:dyDescent="0.3">
      <c r="B670" s="1204"/>
      <c r="C670" s="1199"/>
      <c r="D670" s="555"/>
      <c r="E670" s="1199"/>
      <c r="F670" s="1201"/>
      <c r="G670" s="1201"/>
      <c r="H670" s="1199"/>
      <c r="I670" s="1199"/>
      <c r="J670" s="1204"/>
      <c r="K670" s="1199"/>
      <c r="L670" s="1199"/>
      <c r="M670" s="636" t="s">
        <v>123</v>
      </c>
      <c r="N670" s="549"/>
      <c r="O670" s="544">
        <v>0</v>
      </c>
      <c r="P670" s="544">
        <v>0</v>
      </c>
      <c r="Q670" s="675">
        <v>0</v>
      </c>
      <c r="R670" s="48"/>
      <c r="S670" s="48"/>
      <c r="T670" s="48"/>
      <c r="U670" s="48"/>
      <c r="V670" s="48"/>
    </row>
    <row r="671" spans="2:22" ht="24" customHeight="1" thickBot="1" x14ac:dyDescent="0.3">
      <c r="B671" s="1204"/>
      <c r="C671" s="1199"/>
      <c r="D671" s="555"/>
      <c r="E671" s="1199"/>
      <c r="F671" s="1201"/>
      <c r="G671" s="1201"/>
      <c r="H671" s="1199"/>
      <c r="I671" s="1199"/>
      <c r="J671" s="1204"/>
      <c r="K671" s="1199"/>
      <c r="L671" s="1199"/>
      <c r="M671" s="672" t="s">
        <v>124</v>
      </c>
      <c r="N671" s="550"/>
      <c r="O671" s="544">
        <v>1452</v>
      </c>
      <c r="P671" s="544">
        <v>1452</v>
      </c>
      <c r="Q671" s="675">
        <v>1452</v>
      </c>
      <c r="R671" s="48"/>
      <c r="S671" s="48"/>
      <c r="T671" s="48"/>
      <c r="U671" s="48"/>
      <c r="V671" s="48"/>
    </row>
    <row r="672" spans="2:22" ht="21.75" customHeight="1" thickBot="1" x14ac:dyDescent="0.3">
      <c r="B672" s="1205"/>
      <c r="C672" s="1208"/>
      <c r="D672" s="558"/>
      <c r="E672" s="1208"/>
      <c r="F672" s="1202"/>
      <c r="G672" s="1202"/>
      <c r="H672" s="1208"/>
      <c r="I672" s="1208"/>
      <c r="J672" s="1205"/>
      <c r="K672" s="1208"/>
      <c r="L672" s="1208"/>
      <c r="M672" s="547" t="s">
        <v>745</v>
      </c>
      <c r="N672" s="549"/>
      <c r="O672" s="551">
        <v>0</v>
      </c>
      <c r="P672" s="551">
        <v>0</v>
      </c>
      <c r="Q672" s="552">
        <v>0</v>
      </c>
      <c r="R672" s="48"/>
      <c r="S672" s="48"/>
      <c r="T672" s="48"/>
      <c r="U672" s="48"/>
      <c r="V672" s="48"/>
    </row>
    <row r="673" spans="2:22" ht="30" customHeight="1" thickBot="1" x14ac:dyDescent="0.3">
      <c r="B673" s="1204" t="s">
        <v>174</v>
      </c>
      <c r="C673" s="1192" t="s">
        <v>598</v>
      </c>
      <c r="D673" s="682">
        <v>10108</v>
      </c>
      <c r="E673" s="1199" t="s">
        <v>622</v>
      </c>
      <c r="F673" s="1201" t="s">
        <v>375</v>
      </c>
      <c r="G673" s="1201" t="s">
        <v>676</v>
      </c>
      <c r="H673" s="1199" t="s">
        <v>241</v>
      </c>
      <c r="I673" s="1199">
        <f>58-2</f>
        <v>56</v>
      </c>
      <c r="J673" s="1204" t="s">
        <v>462</v>
      </c>
      <c r="K673" s="1199">
        <v>67</v>
      </c>
      <c r="L673" s="1199">
        <v>67</v>
      </c>
      <c r="M673" s="672" t="s">
        <v>122</v>
      </c>
      <c r="N673" s="550"/>
      <c r="O673" s="561">
        <f>O674+O675+O676</f>
        <v>884.4</v>
      </c>
      <c r="P673" s="561">
        <f>P674+P675+P676</f>
        <v>884.4</v>
      </c>
      <c r="Q673" s="562">
        <f>Q674+Q675+Q676</f>
        <v>884.4</v>
      </c>
      <c r="R673" s="48"/>
      <c r="S673" s="48"/>
      <c r="T673" s="48"/>
      <c r="U673" s="48"/>
      <c r="V673" s="48"/>
    </row>
    <row r="674" spans="2:22" ht="21.75" customHeight="1" thickBot="1" x14ac:dyDescent="0.3">
      <c r="B674" s="1204"/>
      <c r="C674" s="1192"/>
      <c r="D674" s="555"/>
      <c r="E674" s="1199"/>
      <c r="F674" s="1201"/>
      <c r="G674" s="1201"/>
      <c r="H674" s="1199"/>
      <c r="I674" s="1199"/>
      <c r="J674" s="1204"/>
      <c r="K674" s="1199"/>
      <c r="L674" s="1199"/>
      <c r="M674" s="636" t="s">
        <v>123</v>
      </c>
      <c r="N674" s="549"/>
      <c r="O674" s="544">
        <v>0</v>
      </c>
      <c r="P674" s="544">
        <v>0</v>
      </c>
      <c r="Q674" s="675">
        <v>0</v>
      </c>
      <c r="R674" s="48"/>
      <c r="S674" s="48"/>
      <c r="T674" s="48"/>
      <c r="U674" s="48"/>
      <c r="V674" s="48"/>
    </row>
    <row r="675" spans="2:22" ht="21.75" customHeight="1" thickBot="1" x14ac:dyDescent="0.3">
      <c r="B675" s="1204"/>
      <c r="C675" s="1192"/>
      <c r="D675" s="555"/>
      <c r="E675" s="1199"/>
      <c r="F675" s="1201"/>
      <c r="G675" s="1201"/>
      <c r="H675" s="1199"/>
      <c r="I675" s="1199"/>
      <c r="J675" s="1204"/>
      <c r="K675" s="1199"/>
      <c r="L675" s="1199"/>
      <c r="M675" s="672" t="s">
        <v>124</v>
      </c>
      <c r="N675" s="550"/>
      <c r="O675" s="544">
        <v>884.4</v>
      </c>
      <c r="P675" s="544">
        <v>884.4</v>
      </c>
      <c r="Q675" s="675">
        <v>884.4</v>
      </c>
      <c r="R675" s="48"/>
      <c r="S675" s="48"/>
      <c r="T675" s="48"/>
      <c r="U675" s="48"/>
      <c r="V675" s="48"/>
    </row>
    <row r="676" spans="2:22" ht="21.75" customHeight="1" thickBot="1" x14ac:dyDescent="0.3">
      <c r="B676" s="1241"/>
      <c r="C676" s="1239"/>
      <c r="D676" s="555"/>
      <c r="E676" s="1237"/>
      <c r="F676" s="1235"/>
      <c r="G676" s="1235"/>
      <c r="H676" s="1237"/>
      <c r="I676" s="1237"/>
      <c r="J676" s="1241"/>
      <c r="K676" s="1237"/>
      <c r="L676" s="1237"/>
      <c r="M676" s="547" t="s">
        <v>745</v>
      </c>
      <c r="N676" s="549"/>
      <c r="O676" s="551">
        <v>0</v>
      </c>
      <c r="P676" s="551">
        <v>0</v>
      </c>
      <c r="Q676" s="552">
        <v>0</v>
      </c>
      <c r="R676" s="48"/>
      <c r="S676" s="48"/>
      <c r="T676" s="48"/>
      <c r="U676" s="48"/>
      <c r="V676" s="48"/>
    </row>
    <row r="677" spans="2:22" ht="21.75" customHeight="1" thickBot="1" x14ac:dyDescent="0.3">
      <c r="B677" s="1240" t="s">
        <v>174</v>
      </c>
      <c r="C677" s="1236">
        <v>10108</v>
      </c>
      <c r="D677" s="609" t="s">
        <v>116</v>
      </c>
      <c r="E677" s="1236" t="s">
        <v>116</v>
      </c>
      <c r="F677" s="1234" t="s">
        <v>297</v>
      </c>
      <c r="G677" s="1234" t="s">
        <v>455</v>
      </c>
      <c r="H677" s="1236" t="s">
        <v>240</v>
      </c>
      <c r="I677" s="1236">
        <f>I681+I685</f>
        <v>5</v>
      </c>
      <c r="J677" s="1240" t="s">
        <v>462</v>
      </c>
      <c r="K677" s="1236">
        <f>K681+K685</f>
        <v>5</v>
      </c>
      <c r="L677" s="1236">
        <f>L681+L685</f>
        <v>5</v>
      </c>
      <c r="M677" s="542" t="s">
        <v>122</v>
      </c>
      <c r="N677" s="543"/>
      <c r="O677" s="544">
        <f>O678+O679+O680</f>
        <v>1150</v>
      </c>
      <c r="P677" s="544">
        <f>P678+P679+P680</f>
        <v>1150</v>
      </c>
      <c r="Q677" s="675">
        <f>Q678+Q679+Q680</f>
        <v>1150</v>
      </c>
      <c r="R677" s="48"/>
      <c r="S677" s="48"/>
      <c r="T677" s="48"/>
      <c r="U677" s="48"/>
      <c r="V677" s="48"/>
    </row>
    <row r="678" spans="2:22" ht="22.5" customHeight="1" thickBot="1" x14ac:dyDescent="0.3">
      <c r="B678" s="1204"/>
      <c r="C678" s="1199"/>
      <c r="D678" s="609"/>
      <c r="E678" s="1199"/>
      <c r="F678" s="1201"/>
      <c r="G678" s="1201"/>
      <c r="H678" s="1199"/>
      <c r="I678" s="1199"/>
      <c r="J678" s="1204"/>
      <c r="K678" s="1199"/>
      <c r="L678" s="1199"/>
      <c r="M678" s="636" t="s">
        <v>123</v>
      </c>
      <c r="N678" s="549"/>
      <c r="O678" s="544">
        <v>0</v>
      </c>
      <c r="P678" s="544">
        <v>0</v>
      </c>
      <c r="Q678" s="675">
        <v>0</v>
      </c>
      <c r="R678" s="48"/>
      <c r="S678" s="48"/>
      <c r="T678" s="48"/>
      <c r="U678" s="48"/>
      <c r="V678" s="48"/>
    </row>
    <row r="679" spans="2:22" ht="23.25" customHeight="1" thickBot="1" x14ac:dyDescent="0.3">
      <c r="B679" s="1204"/>
      <c r="C679" s="1199"/>
      <c r="D679" s="609"/>
      <c r="E679" s="1199"/>
      <c r="F679" s="1201"/>
      <c r="G679" s="1201"/>
      <c r="H679" s="1199"/>
      <c r="I679" s="1199"/>
      <c r="J679" s="1204"/>
      <c r="K679" s="1199"/>
      <c r="L679" s="1199"/>
      <c r="M679" s="672" t="s">
        <v>124</v>
      </c>
      <c r="N679" s="550"/>
      <c r="O679" s="544">
        <f>O683+O687</f>
        <v>1150</v>
      </c>
      <c r="P679" s="544">
        <f>P683+P687</f>
        <v>1150</v>
      </c>
      <c r="Q679" s="675">
        <f>Q683+Q687</f>
        <v>1150</v>
      </c>
      <c r="R679" s="48"/>
      <c r="S679" s="48"/>
      <c r="T679" s="48"/>
      <c r="U679" s="48"/>
      <c r="V679" s="48"/>
    </row>
    <row r="680" spans="2:22" ht="21.75" customHeight="1" thickBot="1" x14ac:dyDescent="0.3">
      <c r="B680" s="1241"/>
      <c r="C680" s="1237"/>
      <c r="D680" s="609"/>
      <c r="E680" s="1237"/>
      <c r="F680" s="1235"/>
      <c r="G680" s="1235"/>
      <c r="H680" s="1237"/>
      <c r="I680" s="1237"/>
      <c r="J680" s="1241"/>
      <c r="K680" s="1237"/>
      <c r="L680" s="1237"/>
      <c r="M680" s="547" t="s">
        <v>745</v>
      </c>
      <c r="N680" s="549"/>
      <c r="O680" s="551">
        <v>0</v>
      </c>
      <c r="P680" s="551">
        <v>0</v>
      </c>
      <c r="Q680" s="552">
        <v>0</v>
      </c>
      <c r="R680" s="48"/>
      <c r="S680" s="48"/>
      <c r="T680" s="48"/>
      <c r="U680" s="48"/>
      <c r="V680" s="48"/>
    </row>
    <row r="681" spans="2:22" ht="26.25" customHeight="1" thickBot="1" x14ac:dyDescent="0.3">
      <c r="B681" s="1240" t="s">
        <v>174</v>
      </c>
      <c r="C681" s="1236">
        <v>10108</v>
      </c>
      <c r="D681" s="609">
        <v>27300364</v>
      </c>
      <c r="E681" s="1236" t="s">
        <v>192</v>
      </c>
      <c r="F681" s="1234" t="s">
        <v>370</v>
      </c>
      <c r="G681" s="1234" t="s">
        <v>218</v>
      </c>
      <c r="H681" s="1236" t="s">
        <v>240</v>
      </c>
      <c r="I681" s="1236" t="s">
        <v>373</v>
      </c>
      <c r="J681" s="1240" t="s">
        <v>462</v>
      </c>
      <c r="K681" s="1236" t="s">
        <v>373</v>
      </c>
      <c r="L681" s="1236" t="s">
        <v>373</v>
      </c>
      <c r="M681" s="542" t="s">
        <v>122</v>
      </c>
      <c r="N681" s="543"/>
      <c r="O681" s="544">
        <f>O682+O683+O684</f>
        <v>690</v>
      </c>
      <c r="P681" s="544">
        <f>P682+P683+P684</f>
        <v>690</v>
      </c>
      <c r="Q681" s="675">
        <f>Q682+Q683+Q684</f>
        <v>690</v>
      </c>
      <c r="R681" s="48"/>
      <c r="S681" s="48"/>
      <c r="T681" s="48"/>
      <c r="U681" s="48"/>
      <c r="V681" s="48"/>
    </row>
    <row r="682" spans="2:22" ht="26.25" customHeight="1" thickBot="1" x14ac:dyDescent="0.3">
      <c r="B682" s="1204"/>
      <c r="C682" s="1199"/>
      <c r="D682" s="609"/>
      <c r="E682" s="1199"/>
      <c r="F682" s="1201"/>
      <c r="G682" s="1201"/>
      <c r="H682" s="1199"/>
      <c r="I682" s="1199"/>
      <c r="J682" s="1204"/>
      <c r="K682" s="1199"/>
      <c r="L682" s="1199"/>
      <c r="M682" s="636" t="s">
        <v>123</v>
      </c>
      <c r="N682" s="549"/>
      <c r="O682" s="544">
        <v>0</v>
      </c>
      <c r="P682" s="544">
        <v>0</v>
      </c>
      <c r="Q682" s="675">
        <v>0</v>
      </c>
      <c r="R682" s="48"/>
      <c r="S682" s="48"/>
      <c r="T682" s="48"/>
      <c r="U682" s="48"/>
      <c r="V682" s="48"/>
    </row>
    <row r="683" spans="2:22" ht="25.5" customHeight="1" thickBot="1" x14ac:dyDescent="0.3">
      <c r="B683" s="1204"/>
      <c r="C683" s="1199"/>
      <c r="D683" s="609"/>
      <c r="E683" s="1199"/>
      <c r="F683" s="1201"/>
      <c r="G683" s="1201"/>
      <c r="H683" s="1199"/>
      <c r="I683" s="1199"/>
      <c r="J683" s="1204"/>
      <c r="K683" s="1199"/>
      <c r="L683" s="1199"/>
      <c r="M683" s="672" t="s">
        <v>124</v>
      </c>
      <c r="N683" s="550"/>
      <c r="O683" s="544">
        <v>690</v>
      </c>
      <c r="P683" s="544">
        <v>690</v>
      </c>
      <c r="Q683" s="675">
        <v>690</v>
      </c>
      <c r="R683" s="48"/>
      <c r="S683" s="48"/>
      <c r="T683" s="48"/>
      <c r="U683" s="48"/>
      <c r="V683" s="48"/>
    </row>
    <row r="684" spans="2:22" ht="25.5" customHeight="1" thickBot="1" x14ac:dyDescent="0.3">
      <c r="B684" s="1204"/>
      <c r="C684" s="1199"/>
      <c r="D684" s="688"/>
      <c r="E684" s="1199"/>
      <c r="F684" s="1201"/>
      <c r="G684" s="1201"/>
      <c r="H684" s="1199"/>
      <c r="I684" s="1199"/>
      <c r="J684" s="1204"/>
      <c r="K684" s="1199"/>
      <c r="L684" s="1199"/>
      <c r="M684" s="671" t="s">
        <v>745</v>
      </c>
      <c r="N684" s="543"/>
      <c r="O684" s="544">
        <v>0</v>
      </c>
      <c r="P684" s="544">
        <v>0</v>
      </c>
      <c r="Q684" s="675">
        <v>0</v>
      </c>
      <c r="R684" s="48"/>
      <c r="S684" s="48"/>
      <c r="T684" s="48"/>
      <c r="U684" s="48"/>
      <c r="V684" s="48"/>
    </row>
    <row r="685" spans="2:22" ht="24" customHeight="1" thickBot="1" x14ac:dyDescent="0.3">
      <c r="B685" s="1206" t="s">
        <v>174</v>
      </c>
      <c r="C685" s="1207">
        <v>10108</v>
      </c>
      <c r="D685" s="620">
        <v>27300364</v>
      </c>
      <c r="E685" s="1207" t="s">
        <v>192</v>
      </c>
      <c r="F685" s="1200" t="s">
        <v>371</v>
      </c>
      <c r="G685" s="1200" t="s">
        <v>217</v>
      </c>
      <c r="H685" s="1207" t="s">
        <v>240</v>
      </c>
      <c r="I685" s="1207" t="s">
        <v>374</v>
      </c>
      <c r="J685" s="1206" t="s">
        <v>462</v>
      </c>
      <c r="K685" s="1207" t="s">
        <v>374</v>
      </c>
      <c r="L685" s="1207" t="s">
        <v>374</v>
      </c>
      <c r="M685" s="542" t="s">
        <v>122</v>
      </c>
      <c r="N685" s="543"/>
      <c r="O685" s="544">
        <f>O686+O687+O688</f>
        <v>460</v>
      </c>
      <c r="P685" s="544">
        <f>P686+P687+P688</f>
        <v>460</v>
      </c>
      <c r="Q685" s="675">
        <f>Q686+Q687+Q688</f>
        <v>460</v>
      </c>
      <c r="R685" s="48"/>
      <c r="S685" s="48"/>
      <c r="T685" s="48"/>
      <c r="U685" s="48"/>
      <c r="V685" s="48"/>
    </row>
    <row r="686" spans="2:22" ht="21" customHeight="1" thickBot="1" x14ac:dyDescent="0.3">
      <c r="B686" s="1204"/>
      <c r="C686" s="1199"/>
      <c r="D686" s="609"/>
      <c r="E686" s="1199"/>
      <c r="F686" s="1201"/>
      <c r="G686" s="1201"/>
      <c r="H686" s="1199"/>
      <c r="I686" s="1199"/>
      <c r="J686" s="1204"/>
      <c r="K686" s="1199"/>
      <c r="L686" s="1199"/>
      <c r="M686" s="636" t="s">
        <v>123</v>
      </c>
      <c r="N686" s="549"/>
      <c r="O686" s="544">
        <v>0</v>
      </c>
      <c r="P686" s="544">
        <v>0</v>
      </c>
      <c r="Q686" s="675">
        <v>0</v>
      </c>
      <c r="R686" s="48"/>
      <c r="S686" s="48"/>
      <c r="T686" s="48"/>
      <c r="U686" s="48"/>
      <c r="V686" s="48"/>
    </row>
    <row r="687" spans="2:22" ht="21" customHeight="1" thickBot="1" x14ac:dyDescent="0.3">
      <c r="B687" s="1204"/>
      <c r="C687" s="1199"/>
      <c r="D687" s="609"/>
      <c r="E687" s="1199"/>
      <c r="F687" s="1201"/>
      <c r="G687" s="1201"/>
      <c r="H687" s="1199"/>
      <c r="I687" s="1199"/>
      <c r="J687" s="1204"/>
      <c r="K687" s="1199"/>
      <c r="L687" s="1199"/>
      <c r="M687" s="672" t="s">
        <v>124</v>
      </c>
      <c r="N687" s="550"/>
      <c r="O687" s="544">
        <v>460</v>
      </c>
      <c r="P687" s="544">
        <v>460</v>
      </c>
      <c r="Q687" s="675">
        <v>460</v>
      </c>
      <c r="R687" s="48"/>
      <c r="S687" s="48"/>
      <c r="T687" s="48"/>
      <c r="U687" s="48"/>
      <c r="V687" s="48"/>
    </row>
    <row r="688" spans="2:22" ht="21" customHeight="1" thickBot="1" x14ac:dyDescent="0.3">
      <c r="B688" s="1204"/>
      <c r="C688" s="1199"/>
      <c r="D688" s="688"/>
      <c r="E688" s="1199"/>
      <c r="F688" s="1201"/>
      <c r="G688" s="1201"/>
      <c r="H688" s="1199"/>
      <c r="I688" s="1199"/>
      <c r="J688" s="1204"/>
      <c r="K688" s="1199"/>
      <c r="L688" s="1199"/>
      <c r="M688" s="671" t="s">
        <v>745</v>
      </c>
      <c r="N688" s="543"/>
      <c r="O688" s="544">
        <v>0</v>
      </c>
      <c r="P688" s="544">
        <v>0</v>
      </c>
      <c r="Q688" s="675">
        <v>0</v>
      </c>
      <c r="R688" s="48"/>
      <c r="S688" s="48"/>
      <c r="T688" s="48"/>
      <c r="U688" s="48"/>
      <c r="V688" s="48"/>
    </row>
    <row r="689" spans="2:22" ht="69.75" customHeight="1" thickBot="1" x14ac:dyDescent="0.3">
      <c r="B689" s="1206" t="s">
        <v>174</v>
      </c>
      <c r="C689" s="1207">
        <v>60301</v>
      </c>
      <c r="D689" s="620" t="s">
        <v>116</v>
      </c>
      <c r="E689" s="1207" t="s">
        <v>116</v>
      </c>
      <c r="F689" s="1200" t="s">
        <v>675</v>
      </c>
      <c r="G689" s="1200" t="s">
        <v>454</v>
      </c>
      <c r="H689" s="1207" t="s">
        <v>240</v>
      </c>
      <c r="I689" s="1207">
        <f>I693+I697</f>
        <v>24</v>
      </c>
      <c r="J689" s="1206" t="s">
        <v>462</v>
      </c>
      <c r="K689" s="1207">
        <f>K693+K697</f>
        <v>24</v>
      </c>
      <c r="L689" s="1207">
        <f>L693+L697</f>
        <v>24</v>
      </c>
      <c r="M689" s="542" t="s">
        <v>122</v>
      </c>
      <c r="N689" s="543"/>
      <c r="O689" s="544">
        <f>O690+O691+O692</f>
        <v>4800</v>
      </c>
      <c r="P689" s="544">
        <f>P690+P691+P692</f>
        <v>4800</v>
      </c>
      <c r="Q689" s="675">
        <f>Q690+Q691+Q692</f>
        <v>4800</v>
      </c>
      <c r="R689" s="48"/>
      <c r="S689" s="48"/>
      <c r="T689" s="48"/>
      <c r="U689" s="48"/>
      <c r="V689" s="48"/>
    </row>
    <row r="690" spans="2:22" ht="25.5" customHeight="1" thickBot="1" x14ac:dyDescent="0.3">
      <c r="B690" s="1204"/>
      <c r="C690" s="1199"/>
      <c r="D690" s="609"/>
      <c r="E690" s="1199"/>
      <c r="F690" s="1201"/>
      <c r="G690" s="1201"/>
      <c r="H690" s="1199"/>
      <c r="I690" s="1199"/>
      <c r="J690" s="1204"/>
      <c r="K690" s="1199"/>
      <c r="L690" s="1199"/>
      <c r="M690" s="636" t="s">
        <v>123</v>
      </c>
      <c r="N690" s="549"/>
      <c r="O690" s="544">
        <v>0</v>
      </c>
      <c r="P690" s="544">
        <v>0</v>
      </c>
      <c r="Q690" s="675">
        <v>0</v>
      </c>
      <c r="R690" s="48"/>
      <c r="S690" s="48"/>
      <c r="T690" s="48"/>
      <c r="U690" s="48"/>
      <c r="V690" s="48"/>
    </row>
    <row r="691" spans="2:22" ht="25.5" customHeight="1" thickBot="1" x14ac:dyDescent="0.3">
      <c r="B691" s="1204"/>
      <c r="C691" s="1199"/>
      <c r="D691" s="609"/>
      <c r="E691" s="1199"/>
      <c r="F691" s="1201"/>
      <c r="G691" s="1201"/>
      <c r="H691" s="1199"/>
      <c r="I691" s="1199"/>
      <c r="J691" s="1204"/>
      <c r="K691" s="1199"/>
      <c r="L691" s="1199"/>
      <c r="M691" s="672" t="s">
        <v>124</v>
      </c>
      <c r="N691" s="550"/>
      <c r="O691" s="544">
        <f>O695+O699</f>
        <v>4800</v>
      </c>
      <c r="P691" s="544">
        <f>P695+P699</f>
        <v>4800</v>
      </c>
      <c r="Q691" s="675">
        <f>Q695+Q699</f>
        <v>4800</v>
      </c>
      <c r="R691" s="48"/>
      <c r="S691" s="48"/>
      <c r="T691" s="48"/>
      <c r="U691" s="48"/>
      <c r="V691" s="48"/>
    </row>
    <row r="692" spans="2:22" ht="25.5" customHeight="1" thickBot="1" x14ac:dyDescent="0.3">
      <c r="B692" s="1205"/>
      <c r="C692" s="1208"/>
      <c r="D692" s="628"/>
      <c r="E692" s="1208"/>
      <c r="F692" s="1202"/>
      <c r="G692" s="1202"/>
      <c r="H692" s="1208"/>
      <c r="I692" s="1208"/>
      <c r="J692" s="1205"/>
      <c r="K692" s="1208"/>
      <c r="L692" s="1208"/>
      <c r="M692" s="547" t="s">
        <v>745</v>
      </c>
      <c r="N692" s="549"/>
      <c r="O692" s="551">
        <v>0</v>
      </c>
      <c r="P692" s="551">
        <v>0</v>
      </c>
      <c r="Q692" s="552">
        <v>0</v>
      </c>
      <c r="R692" s="48"/>
      <c r="S692" s="48"/>
      <c r="T692" s="48"/>
      <c r="U692" s="48"/>
      <c r="V692" s="48"/>
    </row>
    <row r="693" spans="2:22" ht="26.25" customHeight="1" thickBot="1" x14ac:dyDescent="0.3">
      <c r="B693" s="1204" t="s">
        <v>174</v>
      </c>
      <c r="C693" s="1199">
        <v>60301</v>
      </c>
      <c r="D693" s="689">
        <v>60301</v>
      </c>
      <c r="E693" s="1199" t="s">
        <v>192</v>
      </c>
      <c r="F693" s="1201" t="s">
        <v>377</v>
      </c>
      <c r="G693" s="1201" t="s">
        <v>453</v>
      </c>
      <c r="H693" s="1199" t="s">
        <v>240</v>
      </c>
      <c r="I693" s="1199" t="s">
        <v>372</v>
      </c>
      <c r="J693" s="1204" t="s">
        <v>462</v>
      </c>
      <c r="K693" s="1199" t="s">
        <v>372</v>
      </c>
      <c r="L693" s="1199" t="s">
        <v>372</v>
      </c>
      <c r="M693" s="672" t="s">
        <v>122</v>
      </c>
      <c r="N693" s="550"/>
      <c r="O693" s="561">
        <f>O694+O695+O696</f>
        <v>1200</v>
      </c>
      <c r="P693" s="561">
        <f>P694+P695+P696</f>
        <v>1200</v>
      </c>
      <c r="Q693" s="562">
        <f>Q694+Q695+Q696</f>
        <v>1200</v>
      </c>
      <c r="R693" s="48"/>
      <c r="S693" s="48"/>
      <c r="T693" s="48"/>
      <c r="U693" s="48"/>
      <c r="V693" s="48"/>
    </row>
    <row r="694" spans="2:22" ht="30" customHeight="1" thickBot="1" x14ac:dyDescent="0.3">
      <c r="B694" s="1204"/>
      <c r="C694" s="1199"/>
      <c r="D694" s="688"/>
      <c r="E694" s="1199"/>
      <c r="F694" s="1201"/>
      <c r="G694" s="1201"/>
      <c r="H694" s="1199"/>
      <c r="I694" s="1199"/>
      <c r="J694" s="1204"/>
      <c r="K694" s="1199"/>
      <c r="L694" s="1199"/>
      <c r="M694" s="636" t="s">
        <v>123</v>
      </c>
      <c r="N694" s="549"/>
      <c r="O694" s="544">
        <v>0</v>
      </c>
      <c r="P694" s="544">
        <v>0</v>
      </c>
      <c r="Q694" s="675">
        <v>0</v>
      </c>
      <c r="R694" s="48"/>
      <c r="S694" s="48"/>
      <c r="T694" s="48"/>
      <c r="U694" s="48"/>
      <c r="V694" s="48"/>
    </row>
    <row r="695" spans="2:22" ht="27" customHeight="1" thickBot="1" x14ac:dyDescent="0.3">
      <c r="B695" s="1204"/>
      <c r="C695" s="1199"/>
      <c r="D695" s="688"/>
      <c r="E695" s="1199"/>
      <c r="F695" s="1201"/>
      <c r="G695" s="1201"/>
      <c r="H695" s="1199"/>
      <c r="I695" s="1199"/>
      <c r="J695" s="1204"/>
      <c r="K695" s="1199"/>
      <c r="L695" s="1199"/>
      <c r="M695" s="672" t="s">
        <v>124</v>
      </c>
      <c r="N695" s="550"/>
      <c r="O695" s="544">
        <v>1200</v>
      </c>
      <c r="P695" s="544">
        <v>1200</v>
      </c>
      <c r="Q695" s="675">
        <v>1200</v>
      </c>
      <c r="R695" s="48"/>
      <c r="S695" s="48"/>
      <c r="T695" s="48"/>
      <c r="U695" s="48"/>
      <c r="V695" s="48"/>
    </row>
    <row r="696" spans="2:22" ht="27" customHeight="1" thickBot="1" x14ac:dyDescent="0.3">
      <c r="B696" s="1204"/>
      <c r="C696" s="1199"/>
      <c r="D696" s="688"/>
      <c r="E696" s="1199"/>
      <c r="F696" s="1201"/>
      <c r="G696" s="1201"/>
      <c r="H696" s="1199"/>
      <c r="I696" s="1199"/>
      <c r="J696" s="1204"/>
      <c r="K696" s="1199"/>
      <c r="L696" s="1199"/>
      <c r="M696" s="671" t="s">
        <v>745</v>
      </c>
      <c r="N696" s="543"/>
      <c r="O696" s="544">
        <v>0</v>
      </c>
      <c r="P696" s="544">
        <v>0</v>
      </c>
      <c r="Q696" s="675">
        <v>0</v>
      </c>
      <c r="R696" s="48"/>
      <c r="S696" s="48"/>
      <c r="T696" s="48"/>
      <c r="U696" s="48"/>
      <c r="V696" s="48"/>
    </row>
    <row r="697" spans="2:22" ht="27" customHeight="1" thickBot="1" x14ac:dyDescent="0.3">
      <c r="B697" s="1206" t="s">
        <v>174</v>
      </c>
      <c r="C697" s="1207">
        <v>60301</v>
      </c>
      <c r="D697" s="542"/>
      <c r="E697" s="1207" t="s">
        <v>192</v>
      </c>
      <c r="F697" s="1200" t="s">
        <v>378</v>
      </c>
      <c r="G697" s="1200" t="s">
        <v>526</v>
      </c>
      <c r="H697" s="1207" t="s">
        <v>240</v>
      </c>
      <c r="I697" s="1207">
        <v>18</v>
      </c>
      <c r="J697" s="1206" t="s">
        <v>462</v>
      </c>
      <c r="K697" s="1207">
        <v>18</v>
      </c>
      <c r="L697" s="1207">
        <v>18</v>
      </c>
      <c r="M697" s="542" t="s">
        <v>122</v>
      </c>
      <c r="N697" s="543"/>
      <c r="O697" s="544">
        <f>O698+O699+O700</f>
        <v>3600</v>
      </c>
      <c r="P697" s="544">
        <f>P698+P699+P700</f>
        <v>3600</v>
      </c>
      <c r="Q697" s="675">
        <f>Q698+Q699+Q700</f>
        <v>3600</v>
      </c>
      <c r="R697" s="48"/>
      <c r="S697" s="48"/>
      <c r="T697" s="48"/>
      <c r="U697" s="48"/>
      <c r="V697" s="48"/>
    </row>
    <row r="698" spans="2:22" ht="27" customHeight="1" thickBot="1" x14ac:dyDescent="0.3">
      <c r="B698" s="1204"/>
      <c r="C698" s="1199"/>
      <c r="D698" s="688"/>
      <c r="E698" s="1199"/>
      <c r="F698" s="1201"/>
      <c r="G698" s="1201"/>
      <c r="H698" s="1199"/>
      <c r="I698" s="1199"/>
      <c r="J698" s="1204"/>
      <c r="K698" s="1199"/>
      <c r="L698" s="1199"/>
      <c r="M698" s="636" t="s">
        <v>123</v>
      </c>
      <c r="N698" s="549"/>
      <c r="O698" s="544">
        <v>0</v>
      </c>
      <c r="P698" s="544">
        <v>0</v>
      </c>
      <c r="Q698" s="675">
        <v>0</v>
      </c>
      <c r="R698" s="48"/>
      <c r="S698" s="48"/>
      <c r="T698" s="48"/>
      <c r="U698" s="48"/>
      <c r="V698" s="48"/>
    </row>
    <row r="699" spans="2:22" ht="27" customHeight="1" thickBot="1" x14ac:dyDescent="0.3">
      <c r="B699" s="1204"/>
      <c r="C699" s="1199"/>
      <c r="D699" s="688"/>
      <c r="E699" s="1199"/>
      <c r="F699" s="1201"/>
      <c r="G699" s="1201"/>
      <c r="H699" s="1199"/>
      <c r="I699" s="1199"/>
      <c r="J699" s="1204"/>
      <c r="K699" s="1199"/>
      <c r="L699" s="1199"/>
      <c r="M699" s="672" t="s">
        <v>124</v>
      </c>
      <c r="N699" s="550"/>
      <c r="O699" s="544">
        <v>3600</v>
      </c>
      <c r="P699" s="544">
        <v>3600</v>
      </c>
      <c r="Q699" s="675">
        <v>3600</v>
      </c>
      <c r="R699" s="48"/>
      <c r="S699" s="48"/>
      <c r="T699" s="48"/>
      <c r="U699" s="48"/>
      <c r="V699" s="48"/>
    </row>
    <row r="700" spans="2:22" ht="26.25" customHeight="1" thickBot="1" x14ac:dyDescent="0.3">
      <c r="B700" s="1205"/>
      <c r="C700" s="1208"/>
      <c r="D700" s="628">
        <v>60301</v>
      </c>
      <c r="E700" s="1208"/>
      <c r="F700" s="1202"/>
      <c r="G700" s="1202"/>
      <c r="H700" s="1208"/>
      <c r="I700" s="1208"/>
      <c r="J700" s="1205"/>
      <c r="K700" s="1208"/>
      <c r="L700" s="1208"/>
      <c r="M700" s="547" t="s">
        <v>745</v>
      </c>
      <c r="N700" s="549"/>
      <c r="O700" s="551">
        <v>0</v>
      </c>
      <c r="P700" s="551">
        <v>0</v>
      </c>
      <c r="Q700" s="552">
        <v>0</v>
      </c>
      <c r="R700" s="48"/>
      <c r="S700" s="48"/>
      <c r="T700" s="48"/>
      <c r="U700" s="48"/>
      <c r="V700" s="48"/>
    </row>
    <row r="701" spans="2:22" ht="48" x14ac:dyDescent="0.25">
      <c r="B701" s="599" t="s">
        <v>576</v>
      </c>
      <c r="C701" s="689" t="s">
        <v>116</v>
      </c>
      <c r="D701" s="689" t="s">
        <v>116</v>
      </c>
      <c r="E701" s="689" t="s">
        <v>116</v>
      </c>
      <c r="F701" s="645" t="s">
        <v>578</v>
      </c>
      <c r="G701" s="600" t="s">
        <v>580</v>
      </c>
      <c r="H701" s="601" t="s">
        <v>240</v>
      </c>
      <c r="I701" s="601" t="s">
        <v>374</v>
      </c>
      <c r="J701" s="602" t="s">
        <v>363</v>
      </c>
      <c r="K701" s="603"/>
      <c r="L701" s="689"/>
      <c r="M701" s="687"/>
      <c r="N701" s="556">
        <f>N703+N704</f>
        <v>36126.990000000005</v>
      </c>
      <c r="O701" s="691">
        <v>0</v>
      </c>
      <c r="P701" s="604">
        <v>0</v>
      </c>
      <c r="Q701" s="604">
        <v>0</v>
      </c>
      <c r="R701" s="48"/>
      <c r="S701" s="48"/>
      <c r="T701" s="48"/>
      <c r="U701" s="48"/>
      <c r="V701" s="48"/>
    </row>
    <row r="702" spans="2:22" ht="48.75" thickBot="1" x14ac:dyDescent="0.3">
      <c r="B702" s="598" t="s">
        <v>576</v>
      </c>
      <c r="C702" s="605" t="s">
        <v>295</v>
      </c>
      <c r="D702" s="609" t="s">
        <v>116</v>
      </c>
      <c r="E702" s="609" t="s">
        <v>116</v>
      </c>
      <c r="F702" s="646" t="s">
        <v>588</v>
      </c>
      <c r="G702" s="606" t="s">
        <v>580</v>
      </c>
      <c r="H702" s="605" t="s">
        <v>240</v>
      </c>
      <c r="I702" s="605">
        <f>I703+I704</f>
        <v>2</v>
      </c>
      <c r="J702" s="607" t="s">
        <v>363</v>
      </c>
      <c r="K702" s="608"/>
      <c r="L702" s="609"/>
      <c r="M702" s="584"/>
      <c r="N702" s="610">
        <f>N703+N704</f>
        <v>36126.990000000005</v>
      </c>
      <c r="O702" s="611">
        <v>0</v>
      </c>
      <c r="P702" s="612">
        <v>0</v>
      </c>
      <c r="Q702" s="613"/>
      <c r="R702" s="48"/>
      <c r="S702" s="48"/>
      <c r="T702" s="48"/>
      <c r="U702" s="48"/>
      <c r="V702" s="48"/>
    </row>
    <row r="703" spans="2:22" ht="72.75" x14ac:dyDescent="0.25">
      <c r="B703" s="614" t="s">
        <v>576</v>
      </c>
      <c r="C703" s="615" t="s">
        <v>295</v>
      </c>
      <c r="D703" s="615">
        <v>27301823</v>
      </c>
      <c r="E703" s="616" t="s">
        <v>581</v>
      </c>
      <c r="F703" s="617" t="s">
        <v>613</v>
      </c>
      <c r="G703" s="617" t="s">
        <v>580</v>
      </c>
      <c r="H703" s="694" t="s">
        <v>240</v>
      </c>
      <c r="I703" s="615">
        <v>1</v>
      </c>
      <c r="J703" s="618" t="s">
        <v>363</v>
      </c>
      <c r="K703" s="619"/>
      <c r="L703" s="620"/>
      <c r="M703" s="609"/>
      <c r="N703" s="567">
        <f>28700+576.99</f>
        <v>29276.99</v>
      </c>
      <c r="O703" s="611">
        <v>0</v>
      </c>
      <c r="P703" s="612">
        <v>0</v>
      </c>
      <c r="Q703" s="613"/>
      <c r="R703" s="48"/>
      <c r="S703" s="48"/>
      <c r="T703" s="48"/>
      <c r="U703" s="48"/>
      <c r="V703" s="48"/>
    </row>
    <row r="704" spans="2:22" ht="60.75" thickBot="1" x14ac:dyDescent="0.3">
      <c r="B704" s="621" t="s">
        <v>576</v>
      </c>
      <c r="C704" s="622" t="s">
        <v>295</v>
      </c>
      <c r="D704" s="622" t="s">
        <v>579</v>
      </c>
      <c r="E704" s="623" t="s">
        <v>582</v>
      </c>
      <c r="F704" s="624" t="s">
        <v>594</v>
      </c>
      <c r="G704" s="625" t="s">
        <v>580</v>
      </c>
      <c r="H704" s="558" t="s">
        <v>240</v>
      </c>
      <c r="I704" s="622">
        <v>1</v>
      </c>
      <c r="J704" s="626" t="s">
        <v>363</v>
      </c>
      <c r="K704" s="627"/>
      <c r="L704" s="628"/>
      <c r="M704" s="628"/>
      <c r="N704" s="559">
        <v>6850</v>
      </c>
      <c r="O704" s="611">
        <v>0</v>
      </c>
      <c r="P704" s="629">
        <v>0</v>
      </c>
      <c r="Q704" s="630"/>
      <c r="R704" s="48"/>
      <c r="S704" s="48"/>
      <c r="T704" s="48"/>
      <c r="U704" s="48"/>
      <c r="V704" s="48"/>
    </row>
    <row r="705" spans="2:22" x14ac:dyDescent="0.25">
      <c r="B705" s="631"/>
      <c r="C705" s="631"/>
      <c r="D705" s="631"/>
      <c r="E705" s="631"/>
      <c r="F705" s="631"/>
      <c r="G705" s="631"/>
      <c r="H705" s="631"/>
      <c r="I705" s="631"/>
      <c r="J705" s="631"/>
      <c r="K705" s="631"/>
      <c r="L705" s="631"/>
      <c r="M705" s="631"/>
      <c r="N705" s="632" t="e">
        <f>#REF!+N132+N348+N533+N659+N701</f>
        <v>#REF!</v>
      </c>
      <c r="O705" s="632">
        <f>O19+O132+O348+O533+O659</f>
        <v>641335.31776000001</v>
      </c>
      <c r="P705" s="632">
        <f>P19+P132+P348+P533+P659</f>
        <v>479133.39565000008</v>
      </c>
      <c r="Q705" s="632">
        <f>Q19+Q132+Q348+Q533+Q659</f>
        <v>485967.99569999997</v>
      </c>
      <c r="R705" s="48"/>
      <c r="S705" s="48"/>
      <c r="T705" s="48"/>
      <c r="U705" s="48"/>
      <c r="V705" s="48"/>
    </row>
    <row r="706" spans="2:22" x14ac:dyDescent="0.25">
      <c r="B706" s="631"/>
      <c r="C706" s="631"/>
      <c r="D706" s="631"/>
      <c r="E706" s="631"/>
      <c r="F706" s="631"/>
      <c r="G706" s="631"/>
      <c r="H706" s="631"/>
      <c r="I706" s="631"/>
      <c r="J706" s="631"/>
      <c r="K706" s="631"/>
      <c r="L706" s="631"/>
      <c r="M706" s="631"/>
      <c r="N706" s="631">
        <v>655251.74</v>
      </c>
      <c r="O706" s="631">
        <v>592834</v>
      </c>
      <c r="P706" s="631">
        <v>479133.4</v>
      </c>
      <c r="Q706" s="631">
        <v>485968</v>
      </c>
      <c r="R706" s="48"/>
      <c r="S706" s="48"/>
      <c r="T706" s="48"/>
      <c r="U706" s="48"/>
      <c r="V706" s="48"/>
    </row>
    <row r="707" spans="2:22" x14ac:dyDescent="0.25">
      <c r="B707" s="631"/>
      <c r="C707" s="631"/>
      <c r="D707" s="631"/>
      <c r="E707" s="631"/>
      <c r="F707" s="631"/>
      <c r="G707" s="631"/>
      <c r="H707" s="631"/>
      <c r="I707" s="631"/>
      <c r="J707" s="631"/>
      <c r="K707" s="631"/>
      <c r="L707" s="631"/>
      <c r="M707" s="631"/>
      <c r="N707" s="632" t="e">
        <f>N705-N706</f>
        <v>#REF!</v>
      </c>
      <c r="O707" s="632">
        <f>O705-O706</f>
        <v>48501.317760000005</v>
      </c>
      <c r="P707" s="632">
        <f>P705-P706</f>
        <v>-4.3499999446794391E-3</v>
      </c>
      <c r="Q707" s="632">
        <f>Q705-Q706</f>
        <v>-4.3000000296160579E-3</v>
      </c>
      <c r="R707" s="48"/>
      <c r="S707" s="48"/>
      <c r="T707" s="48"/>
      <c r="U707" s="48"/>
      <c r="V707" s="48"/>
    </row>
    <row r="708" spans="2:22" x14ac:dyDescent="0.25"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</row>
    <row r="709" spans="2:22" x14ac:dyDescent="0.25">
      <c r="I709" s="37">
        <f>I357+I359+I361+I365+I369+I373+I377+I381+I385+I389+I393+I395+I397+I401</f>
        <v>4908</v>
      </c>
    </row>
    <row r="715" spans="2:22" x14ac:dyDescent="0.25">
      <c r="F715" s="49"/>
    </row>
  </sheetData>
  <autoFilter ref="B13:Q707" xr:uid="{00000000-0009-0000-0000-00000D000000}"/>
  <mergeCells count="1783">
    <mergeCell ref="B184:B187"/>
    <mergeCell ref="H284:H287"/>
    <mergeCell ref="I284:I287"/>
    <mergeCell ref="J284:J287"/>
    <mergeCell ref="K284:K287"/>
    <mergeCell ref="L284:L287"/>
    <mergeCell ref="B284:B287"/>
    <mergeCell ref="C284:C287"/>
    <mergeCell ref="E284:E287"/>
    <mergeCell ref="F284:F287"/>
    <mergeCell ref="B300:B303"/>
    <mergeCell ref="C300:C303"/>
    <mergeCell ref="E300:E303"/>
    <mergeCell ref="F300:F303"/>
    <mergeCell ref="G300:G303"/>
    <mergeCell ref="H300:H303"/>
    <mergeCell ref="H304:H307"/>
    <mergeCell ref="H296:H299"/>
    <mergeCell ref="I296:I299"/>
    <mergeCell ref="J296:J299"/>
    <mergeCell ref="K296:K299"/>
    <mergeCell ref="L296:L299"/>
    <mergeCell ref="I300:I303"/>
    <mergeCell ref="J300:J303"/>
    <mergeCell ref="K300:K303"/>
    <mergeCell ref="L300:L303"/>
    <mergeCell ref="B304:B307"/>
    <mergeCell ref="B296:B299"/>
    <mergeCell ref="C296:C299"/>
    <mergeCell ref="E296:E299"/>
    <mergeCell ref="F296:F299"/>
    <mergeCell ref="G296:G299"/>
    <mergeCell ref="J288:J291"/>
    <mergeCell ref="K288:K291"/>
    <mergeCell ref="L288:L291"/>
    <mergeCell ref="I304:I307"/>
    <mergeCell ref="J304:J307"/>
    <mergeCell ref="K304:K307"/>
    <mergeCell ref="L304:L307"/>
    <mergeCell ref="N280:N282"/>
    <mergeCell ref="I276:I279"/>
    <mergeCell ref="J276:J279"/>
    <mergeCell ref="K276:K279"/>
    <mergeCell ref="L276:L279"/>
    <mergeCell ref="N276:N278"/>
    <mergeCell ref="G288:G291"/>
    <mergeCell ref="H288:H291"/>
    <mergeCell ref="H280:H283"/>
    <mergeCell ref="G284:G287"/>
    <mergeCell ref="I280:I283"/>
    <mergeCell ref="J280:J283"/>
    <mergeCell ref="N288:N290"/>
    <mergeCell ref="N284:N286"/>
    <mergeCell ref="H276:H279"/>
    <mergeCell ref="N272:N274"/>
    <mergeCell ref="C304:C307"/>
    <mergeCell ref="E304:E307"/>
    <mergeCell ref="F304:F307"/>
    <mergeCell ref="G304:G307"/>
    <mergeCell ref="I288:I291"/>
    <mergeCell ref="B280:B283"/>
    <mergeCell ref="C280:C283"/>
    <mergeCell ref="E280:E283"/>
    <mergeCell ref="F280:F283"/>
    <mergeCell ref="G280:G283"/>
    <mergeCell ref="B276:B279"/>
    <mergeCell ref="C276:C279"/>
    <mergeCell ref="E276:E279"/>
    <mergeCell ref="F276:F279"/>
    <mergeCell ref="G276:G279"/>
    <mergeCell ref="K280:K283"/>
    <mergeCell ref="L280:L283"/>
    <mergeCell ref="B292:B295"/>
    <mergeCell ref="C292:C295"/>
    <mergeCell ref="E292:E295"/>
    <mergeCell ref="F292:F295"/>
    <mergeCell ref="G292:G295"/>
    <mergeCell ref="B288:B291"/>
    <mergeCell ref="N304:N306"/>
    <mergeCell ref="N296:N298"/>
    <mergeCell ref="N300:N302"/>
    <mergeCell ref="N292:N294"/>
    <mergeCell ref="I292:I295"/>
    <mergeCell ref="J292:J295"/>
    <mergeCell ref="K292:K295"/>
    <mergeCell ref="L292:L295"/>
    <mergeCell ref="H264:H267"/>
    <mergeCell ref="I264:I267"/>
    <mergeCell ref="J264:J267"/>
    <mergeCell ref="K264:K267"/>
    <mergeCell ref="L264:L267"/>
    <mergeCell ref="B272:B275"/>
    <mergeCell ref="C272:C275"/>
    <mergeCell ref="E272:E275"/>
    <mergeCell ref="F272:F275"/>
    <mergeCell ref="G272:G275"/>
    <mergeCell ref="B268:B271"/>
    <mergeCell ref="C268:C271"/>
    <mergeCell ref="E268:E271"/>
    <mergeCell ref="F268:F271"/>
    <mergeCell ref="G268:G271"/>
    <mergeCell ref="I268:I271"/>
    <mergeCell ref="J268:J271"/>
    <mergeCell ref="K268:K271"/>
    <mergeCell ref="L268:L271"/>
    <mergeCell ref="H272:H275"/>
    <mergeCell ref="I272:I275"/>
    <mergeCell ref="J272:J275"/>
    <mergeCell ref="K272:K275"/>
    <mergeCell ref="L272:L275"/>
    <mergeCell ref="N196:N198"/>
    <mergeCell ref="I200:I203"/>
    <mergeCell ref="J200:J203"/>
    <mergeCell ref="K200:K203"/>
    <mergeCell ref="L200:L203"/>
    <mergeCell ref="N200:N202"/>
    <mergeCell ref="B188:B191"/>
    <mergeCell ref="C188:C191"/>
    <mergeCell ref="E188:E191"/>
    <mergeCell ref="F188:F191"/>
    <mergeCell ref="G188:G191"/>
    <mergeCell ref="B192:B195"/>
    <mergeCell ref="C192:C195"/>
    <mergeCell ref="E192:E195"/>
    <mergeCell ref="F192:F195"/>
    <mergeCell ref="G192:G195"/>
    <mergeCell ref="N188:N190"/>
    <mergeCell ref="I192:I195"/>
    <mergeCell ref="J192:J195"/>
    <mergeCell ref="K192:K195"/>
    <mergeCell ref="L192:L195"/>
    <mergeCell ref="N192:N194"/>
    <mergeCell ref="H188:H191"/>
    <mergeCell ref="I188:I191"/>
    <mergeCell ref="J188:J191"/>
    <mergeCell ref="K188:K191"/>
    <mergeCell ref="L188:L191"/>
    <mergeCell ref="H192:H195"/>
    <mergeCell ref="H196:H199"/>
    <mergeCell ref="I196:I199"/>
    <mergeCell ref="J196:J199"/>
    <mergeCell ref="B196:B199"/>
    <mergeCell ref="C196:C199"/>
    <mergeCell ref="E196:E199"/>
    <mergeCell ref="F196:F199"/>
    <mergeCell ref="G196:G199"/>
    <mergeCell ref="B200:B203"/>
    <mergeCell ref="C200:C203"/>
    <mergeCell ref="E200:E203"/>
    <mergeCell ref="F200:F203"/>
    <mergeCell ref="G200:G203"/>
    <mergeCell ref="K196:K199"/>
    <mergeCell ref="L196:L199"/>
    <mergeCell ref="I204:I207"/>
    <mergeCell ref="J204:J207"/>
    <mergeCell ref="K204:K207"/>
    <mergeCell ref="B256:B259"/>
    <mergeCell ref="C256:C259"/>
    <mergeCell ref="E256:E259"/>
    <mergeCell ref="F256:F259"/>
    <mergeCell ref="G256:G259"/>
    <mergeCell ref="B252:B255"/>
    <mergeCell ref="C252:C255"/>
    <mergeCell ref="G236:G239"/>
    <mergeCell ref="H236:H239"/>
    <mergeCell ref="I236:I239"/>
    <mergeCell ref="E236:E239"/>
    <mergeCell ref="C236:C239"/>
    <mergeCell ref="B236:B239"/>
    <mergeCell ref="J236:J239"/>
    <mergeCell ref="H200:H203"/>
    <mergeCell ref="H256:H259"/>
    <mergeCell ref="I256:I259"/>
    <mergeCell ref="J256:J259"/>
    <mergeCell ref="K256:K259"/>
    <mergeCell ref="L256:L259"/>
    <mergeCell ref="H252:H255"/>
    <mergeCell ref="I224:I227"/>
    <mergeCell ref="J224:J227"/>
    <mergeCell ref="K224:K227"/>
    <mergeCell ref="N224:N226"/>
    <mergeCell ref="L216:L219"/>
    <mergeCell ref="N216:N218"/>
    <mergeCell ref="B220:B223"/>
    <mergeCell ref="C220:C223"/>
    <mergeCell ref="E220:E223"/>
    <mergeCell ref="F220:F223"/>
    <mergeCell ref="G220:G223"/>
    <mergeCell ref="H220:H223"/>
    <mergeCell ref="B224:B227"/>
    <mergeCell ref="C224:C227"/>
    <mergeCell ref="E224:E227"/>
    <mergeCell ref="F224:F227"/>
    <mergeCell ref="G224:G227"/>
    <mergeCell ref="H224:H227"/>
    <mergeCell ref="G216:G219"/>
    <mergeCell ref="H216:H219"/>
    <mergeCell ref="F240:F243"/>
    <mergeCell ref="H240:H243"/>
    <mergeCell ref="H244:H247"/>
    <mergeCell ref="I244:I247"/>
    <mergeCell ref="J244:J247"/>
    <mergeCell ref="K244:K247"/>
    <mergeCell ref="L244:L247"/>
    <mergeCell ref="L204:L207"/>
    <mergeCell ref="N204:N206"/>
    <mergeCell ref="I216:I219"/>
    <mergeCell ref="J216:J219"/>
    <mergeCell ref="K216:K219"/>
    <mergeCell ref="L220:L223"/>
    <mergeCell ref="N220:N222"/>
    <mergeCell ref="I220:I223"/>
    <mergeCell ref="J220:J223"/>
    <mergeCell ref="J212:J215"/>
    <mergeCell ref="K220:K223"/>
    <mergeCell ref="B204:B207"/>
    <mergeCell ref="C204:C207"/>
    <mergeCell ref="E204:E207"/>
    <mergeCell ref="F204:F207"/>
    <mergeCell ref="G204:G207"/>
    <mergeCell ref="H204:H207"/>
    <mergeCell ref="N208:N210"/>
    <mergeCell ref="B212:B215"/>
    <mergeCell ref="C212:C215"/>
    <mergeCell ref="E212:E215"/>
    <mergeCell ref="F212:F215"/>
    <mergeCell ref="G212:G215"/>
    <mergeCell ref="H212:H215"/>
    <mergeCell ref="I212:I215"/>
    <mergeCell ref="K212:K215"/>
    <mergeCell ref="L212:L215"/>
    <mergeCell ref="N212:N214"/>
    <mergeCell ref="B216:B219"/>
    <mergeCell ref="C216:C219"/>
    <mergeCell ref="E216:E219"/>
    <mergeCell ref="F216:F219"/>
    <mergeCell ref="B509:B512"/>
    <mergeCell ref="C509:C512"/>
    <mergeCell ref="E509:E512"/>
    <mergeCell ref="F509:F512"/>
    <mergeCell ref="G509:G512"/>
    <mergeCell ref="H509:H512"/>
    <mergeCell ref="I509:I512"/>
    <mergeCell ref="J509:J512"/>
    <mergeCell ref="K509:K512"/>
    <mergeCell ref="L509:L512"/>
    <mergeCell ref="B208:B211"/>
    <mergeCell ref="C208:C211"/>
    <mergeCell ref="E208:E211"/>
    <mergeCell ref="F208:F211"/>
    <mergeCell ref="G208:G211"/>
    <mergeCell ref="H208:H211"/>
    <mergeCell ref="I208:I211"/>
    <mergeCell ref="J208:J211"/>
    <mergeCell ref="K208:K211"/>
    <mergeCell ref="L208:L211"/>
    <mergeCell ref="L224:L227"/>
    <mergeCell ref="H260:H263"/>
    <mergeCell ref="B264:B267"/>
    <mergeCell ref="C264:C267"/>
    <mergeCell ref="E264:E267"/>
    <mergeCell ref="F264:F267"/>
    <mergeCell ref="G264:G267"/>
    <mergeCell ref="B260:B263"/>
    <mergeCell ref="C260:C263"/>
    <mergeCell ref="E260:E263"/>
    <mergeCell ref="F260:F263"/>
    <mergeCell ref="G260:G263"/>
    <mergeCell ref="B505:B508"/>
    <mergeCell ref="C505:C508"/>
    <mergeCell ref="E505:E508"/>
    <mergeCell ref="F505:F508"/>
    <mergeCell ref="G505:G508"/>
    <mergeCell ref="H505:H508"/>
    <mergeCell ref="I505:I508"/>
    <mergeCell ref="J505:J508"/>
    <mergeCell ref="K505:K508"/>
    <mergeCell ref="L505:L508"/>
    <mergeCell ref="B493:B496"/>
    <mergeCell ref="C493:C496"/>
    <mergeCell ref="E493:E496"/>
    <mergeCell ref="F493:F496"/>
    <mergeCell ref="G493:G496"/>
    <mergeCell ref="H493:H496"/>
    <mergeCell ref="I493:I496"/>
    <mergeCell ref="J493:J496"/>
    <mergeCell ref="K493:K496"/>
    <mergeCell ref="L489:L492"/>
    <mergeCell ref="E501:E504"/>
    <mergeCell ref="F501:F504"/>
    <mergeCell ref="G501:G504"/>
    <mergeCell ref="H501:H504"/>
    <mergeCell ref="I501:I504"/>
    <mergeCell ref="J501:J504"/>
    <mergeCell ref="K501:K504"/>
    <mergeCell ref="L501:L504"/>
    <mergeCell ref="L493:L496"/>
    <mergeCell ref="B497:B500"/>
    <mergeCell ref="C497:C500"/>
    <mergeCell ref="E497:E500"/>
    <mergeCell ref="F497:F500"/>
    <mergeCell ref="G497:G500"/>
    <mergeCell ref="H497:H500"/>
    <mergeCell ref="I497:I500"/>
    <mergeCell ref="J497:J500"/>
    <mergeCell ref="K497:K500"/>
    <mergeCell ref="L497:L500"/>
    <mergeCell ref="B501:B504"/>
    <mergeCell ref="C501:C504"/>
    <mergeCell ref="B489:B492"/>
    <mergeCell ref="C489:C492"/>
    <mergeCell ref="E489:E492"/>
    <mergeCell ref="F489:F492"/>
    <mergeCell ref="G489:G492"/>
    <mergeCell ref="H489:H492"/>
    <mergeCell ref="I489:I492"/>
    <mergeCell ref="J489:J492"/>
    <mergeCell ref="K489:K492"/>
    <mergeCell ref="F485:F488"/>
    <mergeCell ref="G485:G488"/>
    <mergeCell ref="H485:H488"/>
    <mergeCell ref="I485:I488"/>
    <mergeCell ref="J485:J488"/>
    <mergeCell ref="K485:K488"/>
    <mergeCell ref="L485:L488"/>
    <mergeCell ref="L465:L468"/>
    <mergeCell ref="B485:B488"/>
    <mergeCell ref="C485:C488"/>
    <mergeCell ref="E485:E488"/>
    <mergeCell ref="I481:I484"/>
    <mergeCell ref="B473:B476"/>
    <mergeCell ref="C473:C476"/>
    <mergeCell ref="E473:E476"/>
    <mergeCell ref="F473:F476"/>
    <mergeCell ref="G473:G476"/>
    <mergeCell ref="H473:H476"/>
    <mergeCell ref="B481:B484"/>
    <mergeCell ref="C481:C484"/>
    <mergeCell ref="E481:E484"/>
    <mergeCell ref="F481:F484"/>
    <mergeCell ref="G481:G484"/>
    <mergeCell ref="H481:H484"/>
    <mergeCell ref="L473:L476"/>
    <mergeCell ref="J481:J484"/>
    <mergeCell ref="K481:K484"/>
    <mergeCell ref="L481:L484"/>
    <mergeCell ref="E477:E480"/>
    <mergeCell ref="C477:C480"/>
    <mergeCell ref="G477:G480"/>
    <mergeCell ref="H477:H480"/>
    <mergeCell ref="F465:F468"/>
    <mergeCell ref="G465:G468"/>
    <mergeCell ref="H465:H468"/>
    <mergeCell ref="I465:I468"/>
    <mergeCell ref="J465:J468"/>
    <mergeCell ref="K465:K468"/>
    <mergeCell ref="B457:B460"/>
    <mergeCell ref="C457:C460"/>
    <mergeCell ref="E457:E460"/>
    <mergeCell ref="F457:F460"/>
    <mergeCell ref="G457:G460"/>
    <mergeCell ref="H457:H460"/>
    <mergeCell ref="I457:I460"/>
    <mergeCell ref="J457:J460"/>
    <mergeCell ref="K457:K460"/>
    <mergeCell ref="L457:L460"/>
    <mergeCell ref="B461:B464"/>
    <mergeCell ref="C461:C464"/>
    <mergeCell ref="E461:E464"/>
    <mergeCell ref="F461:F464"/>
    <mergeCell ref="G461:G464"/>
    <mergeCell ref="H461:H464"/>
    <mergeCell ref="I461:I464"/>
    <mergeCell ref="J461:J464"/>
    <mergeCell ref="K461:K464"/>
    <mergeCell ref="L461:L464"/>
    <mergeCell ref="H449:H452"/>
    <mergeCell ref="I449:I452"/>
    <mergeCell ref="J449:J452"/>
    <mergeCell ref="K449:K452"/>
    <mergeCell ref="L449:L452"/>
    <mergeCell ref="B441:B444"/>
    <mergeCell ref="C441:C444"/>
    <mergeCell ref="E441:E444"/>
    <mergeCell ref="F441:F444"/>
    <mergeCell ref="G441:G444"/>
    <mergeCell ref="L441:L444"/>
    <mergeCell ref="B469:B472"/>
    <mergeCell ref="C469:C472"/>
    <mergeCell ref="E469:E472"/>
    <mergeCell ref="F469:F472"/>
    <mergeCell ref="G469:G472"/>
    <mergeCell ref="H469:H472"/>
    <mergeCell ref="F445:F448"/>
    <mergeCell ref="G445:G448"/>
    <mergeCell ref="G449:G452"/>
    <mergeCell ref="I469:I472"/>
    <mergeCell ref="J469:J472"/>
    <mergeCell ref="H445:H448"/>
    <mergeCell ref="I445:I448"/>
    <mergeCell ref="B449:B452"/>
    <mergeCell ref="C449:C452"/>
    <mergeCell ref="E449:E452"/>
    <mergeCell ref="K469:K472"/>
    <mergeCell ref="L469:L472"/>
    <mergeCell ref="B465:B468"/>
    <mergeCell ref="C465:C468"/>
    <mergeCell ref="E465:E468"/>
    <mergeCell ref="L260:L263"/>
    <mergeCell ref="N260:N262"/>
    <mergeCell ref="H268:H271"/>
    <mergeCell ref="H312:H315"/>
    <mergeCell ref="E316:E319"/>
    <mergeCell ref="E252:E255"/>
    <mergeCell ref="L324:L327"/>
    <mergeCell ref="E244:E247"/>
    <mergeCell ref="C244:C247"/>
    <mergeCell ref="F244:F247"/>
    <mergeCell ref="E248:E251"/>
    <mergeCell ref="F248:F251"/>
    <mergeCell ref="G248:G251"/>
    <mergeCell ref="H248:H251"/>
    <mergeCell ref="I248:I251"/>
    <mergeCell ref="J248:J251"/>
    <mergeCell ref="K248:K251"/>
    <mergeCell ref="L248:L251"/>
    <mergeCell ref="N248:N250"/>
    <mergeCell ref="F252:F255"/>
    <mergeCell ref="G252:G255"/>
    <mergeCell ref="N256:N258"/>
    <mergeCell ref="I252:I255"/>
    <mergeCell ref="J252:J255"/>
    <mergeCell ref="K252:K255"/>
    <mergeCell ref="L252:L255"/>
    <mergeCell ref="N252:N254"/>
    <mergeCell ref="N268:N270"/>
    <mergeCell ref="C288:C291"/>
    <mergeCell ref="E288:E291"/>
    <mergeCell ref="F288:F291"/>
    <mergeCell ref="H292:H295"/>
    <mergeCell ref="I477:I480"/>
    <mergeCell ref="J477:J480"/>
    <mergeCell ref="B477:B480"/>
    <mergeCell ref="K477:K480"/>
    <mergeCell ref="B244:B247"/>
    <mergeCell ref="B248:B251"/>
    <mergeCell ref="N240:N242"/>
    <mergeCell ref="B332:B335"/>
    <mergeCell ref="C332:C335"/>
    <mergeCell ref="E332:E335"/>
    <mergeCell ref="F332:F335"/>
    <mergeCell ref="G332:G335"/>
    <mergeCell ref="H332:H335"/>
    <mergeCell ref="I332:I335"/>
    <mergeCell ref="J332:J335"/>
    <mergeCell ref="K332:K335"/>
    <mergeCell ref="B320:B323"/>
    <mergeCell ref="J320:J323"/>
    <mergeCell ref="G316:G319"/>
    <mergeCell ref="C316:C319"/>
    <mergeCell ref="K312:K315"/>
    <mergeCell ref="L312:L315"/>
    <mergeCell ref="L445:L448"/>
    <mergeCell ref="I473:I476"/>
    <mergeCell ref="J473:J476"/>
    <mergeCell ref="K473:K476"/>
    <mergeCell ref="C421:C424"/>
    <mergeCell ref="B421:B424"/>
    <mergeCell ref="G429:G432"/>
    <mergeCell ref="H429:H432"/>
    <mergeCell ref="J429:J432"/>
    <mergeCell ref="K429:K432"/>
    <mergeCell ref="E521:E524"/>
    <mergeCell ref="L417:L420"/>
    <mergeCell ref="J417:J420"/>
    <mergeCell ref="I417:I420"/>
    <mergeCell ref="F417:F420"/>
    <mergeCell ref="G417:G420"/>
    <mergeCell ref="H417:H420"/>
    <mergeCell ref="H441:H444"/>
    <mergeCell ref="I441:I444"/>
    <mergeCell ref="J441:J444"/>
    <mergeCell ref="K441:K444"/>
    <mergeCell ref="B517:B520"/>
    <mergeCell ref="I517:I520"/>
    <mergeCell ref="J517:J520"/>
    <mergeCell ref="K517:K520"/>
    <mergeCell ref="B521:B524"/>
    <mergeCell ref="E517:E520"/>
    <mergeCell ref="I437:I440"/>
    <mergeCell ref="J437:J440"/>
    <mergeCell ref="K437:K440"/>
    <mergeCell ref="F437:F440"/>
    <mergeCell ref="G437:G440"/>
    <mergeCell ref="H437:H440"/>
    <mergeCell ref="F453:F456"/>
    <mergeCell ref="E453:E456"/>
    <mergeCell ref="C453:C456"/>
    <mergeCell ref="B453:B456"/>
    <mergeCell ref="F449:F452"/>
    <mergeCell ref="I421:I424"/>
    <mergeCell ref="F421:F424"/>
    <mergeCell ref="G421:G424"/>
    <mergeCell ref="E421:E424"/>
    <mergeCell ref="E651:E654"/>
    <mergeCell ref="G651:G654"/>
    <mergeCell ref="H651:H654"/>
    <mergeCell ref="C651:C654"/>
    <mergeCell ref="B651:B654"/>
    <mergeCell ref="I651:I654"/>
    <mergeCell ref="J651:J654"/>
    <mergeCell ref="K651:K654"/>
    <mergeCell ref="L651:L654"/>
    <mergeCell ref="L517:L520"/>
    <mergeCell ref="B433:B436"/>
    <mergeCell ref="F433:F436"/>
    <mergeCell ref="G433:G436"/>
    <mergeCell ref="H433:H436"/>
    <mergeCell ref="I433:I436"/>
    <mergeCell ref="I429:I432"/>
    <mergeCell ref="C429:C432"/>
    <mergeCell ref="E433:E436"/>
    <mergeCell ref="C433:C436"/>
    <mergeCell ref="E429:E432"/>
    <mergeCell ref="L437:L440"/>
    <mergeCell ref="J433:J436"/>
    <mergeCell ref="K433:K436"/>
    <mergeCell ref="G453:G456"/>
    <mergeCell ref="H453:H456"/>
    <mergeCell ref="I453:I456"/>
    <mergeCell ref="J453:J456"/>
    <mergeCell ref="K453:K456"/>
    <mergeCell ref="L453:L456"/>
    <mergeCell ref="F477:F480"/>
    <mergeCell ref="B445:B448"/>
    <mergeCell ref="C445:C448"/>
    <mergeCell ref="B619:B622"/>
    <mergeCell ref="B615:B618"/>
    <mergeCell ref="I639:I642"/>
    <mergeCell ref="J639:J642"/>
    <mergeCell ref="K639:K642"/>
    <mergeCell ref="L639:L642"/>
    <mergeCell ref="F643:F646"/>
    <mergeCell ref="G643:G646"/>
    <mergeCell ref="H643:H646"/>
    <mergeCell ref="I643:I646"/>
    <mergeCell ref="J643:J646"/>
    <mergeCell ref="K643:K646"/>
    <mergeCell ref="L643:L646"/>
    <mergeCell ref="E643:E646"/>
    <mergeCell ref="C643:C646"/>
    <mergeCell ref="B643:B646"/>
    <mergeCell ref="C647:C650"/>
    <mergeCell ref="B647:B650"/>
    <mergeCell ref="G647:G650"/>
    <mergeCell ref="H647:H650"/>
    <mergeCell ref="I647:I650"/>
    <mergeCell ref="J647:J650"/>
    <mergeCell ref="K647:K650"/>
    <mergeCell ref="L647:L650"/>
    <mergeCell ref="B631:B634"/>
    <mergeCell ref="F623:F626"/>
    <mergeCell ref="G623:G626"/>
    <mergeCell ref="H623:H626"/>
    <mergeCell ref="I623:I626"/>
    <mergeCell ref="J623:J626"/>
    <mergeCell ref="E623:E626"/>
    <mergeCell ref="C623:C626"/>
    <mergeCell ref="B623:B626"/>
    <mergeCell ref="K623:K626"/>
    <mergeCell ref="L623:L626"/>
    <mergeCell ref="G627:G630"/>
    <mergeCell ref="F627:F630"/>
    <mergeCell ref="E627:E630"/>
    <mergeCell ref="C627:C630"/>
    <mergeCell ref="B627:B630"/>
    <mergeCell ref="H627:H630"/>
    <mergeCell ref="J627:J630"/>
    <mergeCell ref="K627:K630"/>
    <mergeCell ref="L627:L630"/>
    <mergeCell ref="B429:B432"/>
    <mergeCell ref="K591:K594"/>
    <mergeCell ref="L591:L594"/>
    <mergeCell ref="H591:H594"/>
    <mergeCell ref="G591:G594"/>
    <mergeCell ref="F591:F594"/>
    <mergeCell ref="E591:E594"/>
    <mergeCell ref="C591:C594"/>
    <mergeCell ref="F595:F598"/>
    <mergeCell ref="E595:E598"/>
    <mergeCell ref="C595:C598"/>
    <mergeCell ref="B595:B598"/>
    <mergeCell ref="G595:G598"/>
    <mergeCell ref="H595:H598"/>
    <mergeCell ref="I595:I598"/>
    <mergeCell ref="J595:J598"/>
    <mergeCell ref="K595:K598"/>
    <mergeCell ref="L595:L598"/>
    <mergeCell ref="L433:L436"/>
    <mergeCell ref="F429:F432"/>
    <mergeCell ref="I554:I557"/>
    <mergeCell ref="H554:H557"/>
    <mergeCell ref="J529:J532"/>
    <mergeCell ref="C571:C574"/>
    <mergeCell ref="F533:F537"/>
    <mergeCell ref="J533:J537"/>
    <mergeCell ref="G554:G557"/>
    <mergeCell ref="F554:F557"/>
    <mergeCell ref="C538:C541"/>
    <mergeCell ref="C542:C545"/>
    <mergeCell ref="B542:B545"/>
    <mergeCell ref="B546:B549"/>
    <mergeCell ref="J538:J541"/>
    <mergeCell ref="F542:F545"/>
    <mergeCell ref="E542:E545"/>
    <mergeCell ref="L575:L578"/>
    <mergeCell ref="J579:J582"/>
    <mergeCell ref="K579:K582"/>
    <mergeCell ref="I546:I549"/>
    <mergeCell ref="F529:F532"/>
    <mergeCell ref="E529:E532"/>
    <mergeCell ref="C529:C532"/>
    <mergeCell ref="B529:B532"/>
    <mergeCell ref="G529:G532"/>
    <mergeCell ref="H529:H532"/>
    <mergeCell ref="L571:L574"/>
    <mergeCell ref="L558:L561"/>
    <mergeCell ref="L550:L553"/>
    <mergeCell ref="K558:K561"/>
    <mergeCell ref="K542:K545"/>
    <mergeCell ref="L542:L545"/>
    <mergeCell ref="K562:K565"/>
    <mergeCell ref="L429:L432"/>
    <mergeCell ref="E437:E440"/>
    <mergeCell ref="C437:C440"/>
    <mergeCell ref="B437:B440"/>
    <mergeCell ref="F513:F516"/>
    <mergeCell ref="K525:K528"/>
    <mergeCell ref="L525:L528"/>
    <mergeCell ref="F517:F520"/>
    <mergeCell ref="F521:F524"/>
    <mergeCell ref="G521:G524"/>
    <mergeCell ref="H521:H524"/>
    <mergeCell ref="I521:I524"/>
    <mergeCell ref="J521:J524"/>
    <mergeCell ref="L477:L480"/>
    <mergeCell ref="J445:J448"/>
    <mergeCell ref="K445:K448"/>
    <mergeCell ref="L579:L582"/>
    <mergeCell ref="F579:F582"/>
    <mergeCell ref="G579:G582"/>
    <mergeCell ref="C521:C524"/>
    <mergeCell ref="B550:B553"/>
    <mergeCell ref="H550:H553"/>
    <mergeCell ref="I550:I553"/>
    <mergeCell ref="J550:J553"/>
    <mergeCell ref="K550:K553"/>
    <mergeCell ref="G513:G516"/>
    <mergeCell ref="H513:H516"/>
    <mergeCell ref="I513:I516"/>
    <mergeCell ref="J513:J516"/>
    <mergeCell ref="K513:K516"/>
    <mergeCell ref="L513:L516"/>
    <mergeCell ref="F525:F528"/>
    <mergeCell ref="L344:L347"/>
    <mergeCell ref="L228:L231"/>
    <mergeCell ref="N228:N230"/>
    <mergeCell ref="I240:I243"/>
    <mergeCell ref="J240:J243"/>
    <mergeCell ref="K240:K243"/>
    <mergeCell ref="L240:L243"/>
    <mergeCell ref="L340:L343"/>
    <mergeCell ref="L336:L339"/>
    <mergeCell ref="B228:B231"/>
    <mergeCell ref="H228:H231"/>
    <mergeCell ref="I228:I231"/>
    <mergeCell ref="J228:J231"/>
    <mergeCell ref="K228:K231"/>
    <mergeCell ref="B232:B235"/>
    <mergeCell ref="G324:G327"/>
    <mergeCell ref="F324:F327"/>
    <mergeCell ref="I344:I347"/>
    <mergeCell ref="L232:L235"/>
    <mergeCell ref="H232:H235"/>
    <mergeCell ref="I232:I235"/>
    <mergeCell ref="J232:J235"/>
    <mergeCell ref="K232:K235"/>
    <mergeCell ref="N232:N234"/>
    <mergeCell ref="F228:F231"/>
    <mergeCell ref="G228:G231"/>
    <mergeCell ref="L320:L323"/>
    <mergeCell ref="L236:L239"/>
    <mergeCell ref="L316:L319"/>
    <mergeCell ref="L332:L335"/>
    <mergeCell ref="N236:N238"/>
    <mergeCell ref="N244:N246"/>
    <mergeCell ref="K417:K420"/>
    <mergeCell ref="B417:B420"/>
    <mergeCell ref="E228:E231"/>
    <mergeCell ref="C228:C231"/>
    <mergeCell ref="H328:H331"/>
    <mergeCell ref="K336:K339"/>
    <mergeCell ref="J340:J343"/>
    <mergeCell ref="I340:I343"/>
    <mergeCell ref="H340:H343"/>
    <mergeCell ref="G340:G343"/>
    <mergeCell ref="K340:K343"/>
    <mergeCell ref="F336:F339"/>
    <mergeCell ref="G336:G339"/>
    <mergeCell ref="H336:H339"/>
    <mergeCell ref="I336:I339"/>
    <mergeCell ref="J336:J339"/>
    <mergeCell ref="F316:F319"/>
    <mergeCell ref="K320:K323"/>
    <mergeCell ref="H316:H319"/>
    <mergeCell ref="I316:I319"/>
    <mergeCell ref="J316:J319"/>
    <mergeCell ref="K236:K239"/>
    <mergeCell ref="K316:K319"/>
    <mergeCell ref="E320:E323"/>
    <mergeCell ref="C320:C323"/>
    <mergeCell ref="F320:F323"/>
    <mergeCell ref="G320:G323"/>
    <mergeCell ref="H320:H323"/>
    <mergeCell ref="I320:I323"/>
    <mergeCell ref="I260:I263"/>
    <mergeCell ref="G244:G247"/>
    <mergeCell ref="C248:C251"/>
    <mergeCell ref="B344:B347"/>
    <mergeCell ref="F344:F347"/>
    <mergeCell ref="G344:G347"/>
    <mergeCell ref="H344:H347"/>
    <mergeCell ref="F340:F343"/>
    <mergeCell ref="E340:E343"/>
    <mergeCell ref="C340:C343"/>
    <mergeCell ref="B340:B343"/>
    <mergeCell ref="E324:E327"/>
    <mergeCell ref="C324:C327"/>
    <mergeCell ref="B324:B327"/>
    <mergeCell ref="H324:H327"/>
    <mergeCell ref="I324:I327"/>
    <mergeCell ref="J324:J327"/>
    <mergeCell ref="K324:K327"/>
    <mergeCell ref="C312:C315"/>
    <mergeCell ref="B312:B315"/>
    <mergeCell ref="I312:I315"/>
    <mergeCell ref="J312:J315"/>
    <mergeCell ref="J344:J347"/>
    <mergeCell ref="K344:K347"/>
    <mergeCell ref="E344:E347"/>
    <mergeCell ref="C344:C347"/>
    <mergeCell ref="B316:B319"/>
    <mergeCell ref="B336:B339"/>
    <mergeCell ref="E328:E331"/>
    <mergeCell ref="E336:E339"/>
    <mergeCell ref="N264:N266"/>
    <mergeCell ref="J260:J263"/>
    <mergeCell ref="K260:K263"/>
    <mergeCell ref="F697:F700"/>
    <mergeCell ref="G697:G700"/>
    <mergeCell ref="E697:E700"/>
    <mergeCell ref="C697:C700"/>
    <mergeCell ref="B697:B700"/>
    <mergeCell ref="H697:H700"/>
    <mergeCell ref="J697:J700"/>
    <mergeCell ref="I697:I700"/>
    <mergeCell ref="K697:K700"/>
    <mergeCell ref="L697:L700"/>
    <mergeCell ref="F308:F311"/>
    <mergeCell ref="G308:G311"/>
    <mergeCell ref="K308:K311"/>
    <mergeCell ref="L308:L311"/>
    <mergeCell ref="I328:I331"/>
    <mergeCell ref="J328:J331"/>
    <mergeCell ref="L328:L331"/>
    <mergeCell ref="E308:E311"/>
    <mergeCell ref="C308:C311"/>
    <mergeCell ref="B308:B311"/>
    <mergeCell ref="H308:H311"/>
    <mergeCell ref="I308:I311"/>
    <mergeCell ref="J308:J311"/>
    <mergeCell ref="K328:K331"/>
    <mergeCell ref="F328:F331"/>
    <mergeCell ref="G328:G331"/>
    <mergeCell ref="C336:C339"/>
    <mergeCell ref="C328:C331"/>
    <mergeCell ref="B328:B331"/>
    <mergeCell ref="F689:F692"/>
    <mergeCell ref="G689:G692"/>
    <mergeCell ref="E689:E692"/>
    <mergeCell ref="C689:C692"/>
    <mergeCell ref="B689:B692"/>
    <mergeCell ref="H689:H692"/>
    <mergeCell ref="I689:I692"/>
    <mergeCell ref="J689:J692"/>
    <mergeCell ref="K689:K692"/>
    <mergeCell ref="L689:L692"/>
    <mergeCell ref="F693:F696"/>
    <mergeCell ref="G693:G696"/>
    <mergeCell ref="H693:H696"/>
    <mergeCell ref="I693:I696"/>
    <mergeCell ref="J693:J696"/>
    <mergeCell ref="K693:K696"/>
    <mergeCell ref="L693:L696"/>
    <mergeCell ref="E693:E696"/>
    <mergeCell ref="C693:C696"/>
    <mergeCell ref="B693:B696"/>
    <mergeCell ref="G669:G672"/>
    <mergeCell ref="F669:F672"/>
    <mergeCell ref="C681:C684"/>
    <mergeCell ref="B681:B684"/>
    <mergeCell ref="G681:G684"/>
    <mergeCell ref="H681:H684"/>
    <mergeCell ref="B677:B680"/>
    <mergeCell ref="H677:H680"/>
    <mergeCell ref="F677:F680"/>
    <mergeCell ref="G677:G680"/>
    <mergeCell ref="E677:E680"/>
    <mergeCell ref="C677:C680"/>
    <mergeCell ref="I681:I684"/>
    <mergeCell ref="J681:J684"/>
    <mergeCell ref="K681:K684"/>
    <mergeCell ref="L681:L684"/>
    <mergeCell ref="F685:F688"/>
    <mergeCell ref="E685:E688"/>
    <mergeCell ref="K685:K688"/>
    <mergeCell ref="L685:L688"/>
    <mergeCell ref="F681:F684"/>
    <mergeCell ref="E681:E684"/>
    <mergeCell ref="C685:C688"/>
    <mergeCell ref="B685:B688"/>
    <mergeCell ref="G685:G688"/>
    <mergeCell ref="H685:H688"/>
    <mergeCell ref="I685:I688"/>
    <mergeCell ref="J685:J688"/>
    <mergeCell ref="C619:C622"/>
    <mergeCell ref="H635:H638"/>
    <mergeCell ref="B669:B672"/>
    <mergeCell ref="H669:H672"/>
    <mergeCell ref="L669:L672"/>
    <mergeCell ref="B665:B668"/>
    <mergeCell ref="F673:F676"/>
    <mergeCell ref="G673:G676"/>
    <mergeCell ref="E673:E676"/>
    <mergeCell ref="C673:C676"/>
    <mergeCell ref="B673:B676"/>
    <mergeCell ref="I673:I676"/>
    <mergeCell ref="H673:H676"/>
    <mergeCell ref="J673:J676"/>
    <mergeCell ref="I677:I680"/>
    <mergeCell ref="J677:J680"/>
    <mergeCell ref="K677:K680"/>
    <mergeCell ref="L677:L680"/>
    <mergeCell ref="K673:K676"/>
    <mergeCell ref="L673:L676"/>
    <mergeCell ref="E665:E668"/>
    <mergeCell ref="C665:C668"/>
    <mergeCell ref="H665:H668"/>
    <mergeCell ref="I665:I668"/>
    <mergeCell ref="J665:J668"/>
    <mergeCell ref="K665:K668"/>
    <mergeCell ref="I669:I672"/>
    <mergeCell ref="J669:J672"/>
    <mergeCell ref="K669:K672"/>
    <mergeCell ref="G665:G668"/>
    <mergeCell ref="F665:F668"/>
    <mergeCell ref="L665:L668"/>
    <mergeCell ref="I525:I528"/>
    <mergeCell ref="J525:J528"/>
    <mergeCell ref="L521:L524"/>
    <mergeCell ref="G517:G520"/>
    <mergeCell ref="H517:H520"/>
    <mergeCell ref="C525:C528"/>
    <mergeCell ref="B525:B528"/>
    <mergeCell ref="I529:I532"/>
    <mergeCell ref="E538:E541"/>
    <mergeCell ref="G538:G541"/>
    <mergeCell ref="H538:H541"/>
    <mergeCell ref="I538:I541"/>
    <mergeCell ref="E525:E528"/>
    <mergeCell ref="K529:K532"/>
    <mergeCell ref="L529:L532"/>
    <mergeCell ref="E669:E672"/>
    <mergeCell ref="C669:C672"/>
    <mergeCell ref="K655:K658"/>
    <mergeCell ref="L655:L658"/>
    <mergeCell ref="C655:C658"/>
    <mergeCell ref="G655:G658"/>
    <mergeCell ref="H655:H658"/>
    <mergeCell ref="I655:I658"/>
    <mergeCell ref="J655:J658"/>
    <mergeCell ref="F655:F658"/>
    <mergeCell ref="E655:E658"/>
    <mergeCell ref="F615:F618"/>
    <mergeCell ref="G615:G618"/>
    <mergeCell ref="H615:H618"/>
    <mergeCell ref="E619:E622"/>
    <mergeCell ref="G619:G622"/>
    <mergeCell ref="K619:K622"/>
    <mergeCell ref="K521:K524"/>
    <mergeCell ref="I385:I388"/>
    <mergeCell ref="I393:I394"/>
    <mergeCell ref="G385:G388"/>
    <mergeCell ref="G389:G392"/>
    <mergeCell ref="F385:F388"/>
    <mergeCell ref="E385:E388"/>
    <mergeCell ref="C385:C388"/>
    <mergeCell ref="L389:L392"/>
    <mergeCell ref="J385:J388"/>
    <mergeCell ref="K385:K388"/>
    <mergeCell ref="L385:L388"/>
    <mergeCell ref="I389:I392"/>
    <mergeCell ref="K546:K549"/>
    <mergeCell ref="L546:L549"/>
    <mergeCell ref="H546:H549"/>
    <mergeCell ref="G546:G549"/>
    <mergeCell ref="F546:F549"/>
    <mergeCell ref="L421:L424"/>
    <mergeCell ref="F425:F428"/>
    <mergeCell ref="G425:G428"/>
    <mergeCell ref="E425:E428"/>
    <mergeCell ref="C425:C428"/>
    <mergeCell ref="E417:E420"/>
    <mergeCell ref="C417:C420"/>
    <mergeCell ref="H425:H428"/>
    <mergeCell ref="I425:I428"/>
    <mergeCell ref="J425:J428"/>
    <mergeCell ref="K425:K428"/>
    <mergeCell ref="E445:E448"/>
    <mergeCell ref="G525:G528"/>
    <mergeCell ref="H525:H528"/>
    <mergeCell ref="F405:F408"/>
    <mergeCell ref="E405:E408"/>
    <mergeCell ref="C405:C408"/>
    <mergeCell ref="B405:B408"/>
    <mergeCell ref="G405:G408"/>
    <mergeCell ref="H405:H408"/>
    <mergeCell ref="I405:I408"/>
    <mergeCell ref="J405:J408"/>
    <mergeCell ref="K405:K408"/>
    <mergeCell ref="L405:L408"/>
    <mergeCell ref="G397:G400"/>
    <mergeCell ref="F397:F400"/>
    <mergeCell ref="E397:E400"/>
    <mergeCell ref="C397:C400"/>
    <mergeCell ref="B397:B400"/>
    <mergeCell ref="H397:H400"/>
    <mergeCell ref="I397:I400"/>
    <mergeCell ref="J397:J400"/>
    <mergeCell ref="K397:K400"/>
    <mergeCell ref="L397:L400"/>
    <mergeCell ref="K401:K404"/>
    <mergeCell ref="C401:C404"/>
    <mergeCell ref="B401:B404"/>
    <mergeCell ref="I180:I183"/>
    <mergeCell ref="J180:J183"/>
    <mergeCell ref="K180:K183"/>
    <mergeCell ref="L180:L183"/>
    <mergeCell ref="F401:F404"/>
    <mergeCell ref="E401:E404"/>
    <mergeCell ref="G401:G404"/>
    <mergeCell ref="H401:H404"/>
    <mergeCell ref="I401:I404"/>
    <mergeCell ref="J401:J404"/>
    <mergeCell ref="L401:L404"/>
    <mergeCell ref="B393:B396"/>
    <mergeCell ref="C393:C396"/>
    <mergeCell ref="E393:E396"/>
    <mergeCell ref="F393:F394"/>
    <mergeCell ref="F395:F396"/>
    <mergeCell ref="G393:G394"/>
    <mergeCell ref="G395:G396"/>
    <mergeCell ref="H393:H394"/>
    <mergeCell ref="H395:H396"/>
    <mergeCell ref="I395:I396"/>
    <mergeCell ref="J393:J396"/>
    <mergeCell ref="K393:K394"/>
    <mergeCell ref="L393:L394"/>
    <mergeCell ref="L395:L396"/>
    <mergeCell ref="K395:K396"/>
    <mergeCell ref="K389:K392"/>
    <mergeCell ref="I373:I376"/>
    <mergeCell ref="J373:J376"/>
    <mergeCell ref="J389:J392"/>
    <mergeCell ref="H389:H392"/>
    <mergeCell ref="H385:H388"/>
    <mergeCell ref="K373:K376"/>
    <mergeCell ref="L373:L376"/>
    <mergeCell ref="I377:I380"/>
    <mergeCell ref="L377:L380"/>
    <mergeCell ref="K377:K380"/>
    <mergeCell ref="J377:J380"/>
    <mergeCell ref="H377:H380"/>
    <mergeCell ref="I381:I384"/>
    <mergeCell ref="J381:J384"/>
    <mergeCell ref="K381:K384"/>
    <mergeCell ref="L381:L384"/>
    <mergeCell ref="H381:H384"/>
    <mergeCell ref="G381:G384"/>
    <mergeCell ref="F381:F384"/>
    <mergeCell ref="E381:E384"/>
    <mergeCell ref="C381:C384"/>
    <mergeCell ref="B381:B384"/>
    <mergeCell ref="K365:K368"/>
    <mergeCell ref="L365:L368"/>
    <mergeCell ref="I357:I358"/>
    <mergeCell ref="H359:H360"/>
    <mergeCell ref="I359:I360"/>
    <mergeCell ref="J357:J360"/>
    <mergeCell ref="K357:K358"/>
    <mergeCell ref="L357:L358"/>
    <mergeCell ref="K359:K360"/>
    <mergeCell ref="L359:L360"/>
    <mergeCell ref="J369:J372"/>
    <mergeCell ref="K371:K372"/>
    <mergeCell ref="K361:K364"/>
    <mergeCell ref="L361:L364"/>
    <mergeCell ref="L371:L372"/>
    <mergeCell ref="I365:I368"/>
    <mergeCell ref="J365:J368"/>
    <mergeCell ref="H371:H372"/>
    <mergeCell ref="I371:I372"/>
    <mergeCell ref="G163:G164"/>
    <mergeCell ref="G165:G166"/>
    <mergeCell ref="F170:F171"/>
    <mergeCell ref="D172:D174"/>
    <mergeCell ref="H172:H173"/>
    <mergeCell ref="H174:H175"/>
    <mergeCell ref="I172:I173"/>
    <mergeCell ref="I174:I175"/>
    <mergeCell ref="G170:G171"/>
    <mergeCell ref="G174:G175"/>
    <mergeCell ref="L176:L179"/>
    <mergeCell ref="G172:G173"/>
    <mergeCell ref="J172:J175"/>
    <mergeCell ref="K172:K173"/>
    <mergeCell ref="L172:L173"/>
    <mergeCell ref="K174:K175"/>
    <mergeCell ref="L174:L175"/>
    <mergeCell ref="F176:F179"/>
    <mergeCell ref="G176:G179"/>
    <mergeCell ref="H176:H179"/>
    <mergeCell ref="I176:I179"/>
    <mergeCell ref="E176:E179"/>
    <mergeCell ref="H168:H169"/>
    <mergeCell ref="B159:B162"/>
    <mergeCell ref="E159:E162"/>
    <mergeCell ref="H159:H160"/>
    <mergeCell ref="H161:H162"/>
    <mergeCell ref="D159:D161"/>
    <mergeCell ref="F159:F160"/>
    <mergeCell ref="G159:G160"/>
    <mergeCell ref="I161:I162"/>
    <mergeCell ref="J159:J162"/>
    <mergeCell ref="I165:I166"/>
    <mergeCell ref="K159:K160"/>
    <mergeCell ref="L159:L160"/>
    <mergeCell ref="L161:L162"/>
    <mergeCell ref="K161:K162"/>
    <mergeCell ref="C168:C171"/>
    <mergeCell ref="K168:K169"/>
    <mergeCell ref="L168:L169"/>
    <mergeCell ref="L170:L171"/>
    <mergeCell ref="K170:K171"/>
    <mergeCell ref="J168:J171"/>
    <mergeCell ref="I168:I169"/>
    <mergeCell ref="I170:I171"/>
    <mergeCell ref="H170:H171"/>
    <mergeCell ref="E168:E171"/>
    <mergeCell ref="F168:F169"/>
    <mergeCell ref="D163:D165"/>
    <mergeCell ref="H163:H164"/>
    <mergeCell ref="H165:H166"/>
    <mergeCell ref="I163:I164"/>
    <mergeCell ref="F163:F164"/>
    <mergeCell ref="G168:G169"/>
    <mergeCell ref="F165:F166"/>
    <mergeCell ref="K153:K154"/>
    <mergeCell ref="K147:K148"/>
    <mergeCell ref="L147:L148"/>
    <mergeCell ref="K149:K150"/>
    <mergeCell ref="L149:L150"/>
    <mergeCell ref="J151:J154"/>
    <mergeCell ref="H155:H156"/>
    <mergeCell ref="H157:H158"/>
    <mergeCell ref="F155:F156"/>
    <mergeCell ref="F157:F158"/>
    <mergeCell ref="H153:H154"/>
    <mergeCell ref="G151:G152"/>
    <mergeCell ref="G153:G154"/>
    <mergeCell ref="G161:G162"/>
    <mergeCell ref="C159:C162"/>
    <mergeCell ref="I159:I160"/>
    <mergeCell ref="L157:L158"/>
    <mergeCell ref="E88:E91"/>
    <mergeCell ref="F88:F91"/>
    <mergeCell ref="G88:G91"/>
    <mergeCell ref="H88:H91"/>
    <mergeCell ref="I88:I91"/>
    <mergeCell ref="G128:G131"/>
    <mergeCell ref="H128:H131"/>
    <mergeCell ref="G100:G103"/>
    <mergeCell ref="I151:I152"/>
    <mergeCell ref="I153:I154"/>
    <mergeCell ref="P136:P137"/>
    <mergeCell ref="Q136:Q137"/>
    <mergeCell ref="F138:F141"/>
    <mergeCell ref="E138:E141"/>
    <mergeCell ref="K138:K141"/>
    <mergeCell ref="L138:L141"/>
    <mergeCell ref="N132:N137"/>
    <mergeCell ref="G138:G141"/>
    <mergeCell ref="J88:J91"/>
    <mergeCell ref="K88:K91"/>
    <mergeCell ref="L88:L91"/>
    <mergeCell ref="I112:I115"/>
    <mergeCell ref="J112:J115"/>
    <mergeCell ref="K112:K115"/>
    <mergeCell ref="L112:L115"/>
    <mergeCell ref="K108:K111"/>
    <mergeCell ref="L108:L111"/>
    <mergeCell ref="K104:K107"/>
    <mergeCell ref="M136:M137"/>
    <mergeCell ref="O136:O137"/>
    <mergeCell ref="I116:I119"/>
    <mergeCell ref="J116:J119"/>
    <mergeCell ref="K116:K119"/>
    <mergeCell ref="L116:L119"/>
    <mergeCell ref="I128:I131"/>
    <mergeCell ref="J128:J131"/>
    <mergeCell ref="K128:K131"/>
    <mergeCell ref="L128:L131"/>
    <mergeCell ref="B120:B123"/>
    <mergeCell ref="C120:C123"/>
    <mergeCell ref="E128:E131"/>
    <mergeCell ref="C128:C131"/>
    <mergeCell ref="B128:B131"/>
    <mergeCell ref="F128:F131"/>
    <mergeCell ref="B124:B127"/>
    <mergeCell ref="C124:C127"/>
    <mergeCell ref="E124:E127"/>
    <mergeCell ref="E120:E123"/>
    <mergeCell ref="B112:B115"/>
    <mergeCell ref="C112:C115"/>
    <mergeCell ref="E112:E115"/>
    <mergeCell ref="F112:F115"/>
    <mergeCell ref="G112:G115"/>
    <mergeCell ref="H112:H115"/>
    <mergeCell ref="B116:B119"/>
    <mergeCell ref="C116:C119"/>
    <mergeCell ref="E116:E119"/>
    <mergeCell ref="F116:F119"/>
    <mergeCell ref="G116:G119"/>
    <mergeCell ref="H116:H119"/>
    <mergeCell ref="M11:M12"/>
    <mergeCell ref="M10:Q10"/>
    <mergeCell ref="N11:N12"/>
    <mergeCell ref="O11:O12"/>
    <mergeCell ref="P11:P12"/>
    <mergeCell ref="Q11:Q12"/>
    <mergeCell ref="J24:J27"/>
    <mergeCell ref="K24:K27"/>
    <mergeCell ref="L24:L27"/>
    <mergeCell ref="G24:G27"/>
    <mergeCell ref="H24:H27"/>
    <mergeCell ref="I24:I27"/>
    <mergeCell ref="B96:B99"/>
    <mergeCell ref="B100:B103"/>
    <mergeCell ref="E108:E111"/>
    <mergeCell ref="C108:C111"/>
    <mergeCell ref="B108:B111"/>
    <mergeCell ref="C96:C99"/>
    <mergeCell ref="D96:D97"/>
    <mergeCell ref="C100:C103"/>
    <mergeCell ref="B104:B107"/>
    <mergeCell ref="C104:C107"/>
    <mergeCell ref="E104:E107"/>
    <mergeCell ref="F104:F107"/>
    <mergeCell ref="G104:G107"/>
    <mergeCell ref="H104:H107"/>
    <mergeCell ref="L100:L103"/>
    <mergeCell ref="L104:L107"/>
    <mergeCell ref="F108:F111"/>
    <mergeCell ref="G108:G111"/>
    <mergeCell ref="H108:H111"/>
    <mergeCell ref="I108:I111"/>
    <mergeCell ref="B142:B146"/>
    <mergeCell ref="C142:C146"/>
    <mergeCell ref="D142:D146"/>
    <mergeCell ref="E142:E146"/>
    <mergeCell ref="N142:N146"/>
    <mergeCell ref="B132:B137"/>
    <mergeCell ref="J142:J146"/>
    <mergeCell ref="C138:C141"/>
    <mergeCell ref="B138:B141"/>
    <mergeCell ref="J138:J141"/>
    <mergeCell ref="J60:J63"/>
    <mergeCell ref="K52:K55"/>
    <mergeCell ref="F19:F23"/>
    <mergeCell ref="E132:E137"/>
    <mergeCell ref="F132:F137"/>
    <mergeCell ref="J132:J137"/>
    <mergeCell ref="F100:F103"/>
    <mergeCell ref="E100:E103"/>
    <mergeCell ref="J56:J59"/>
    <mergeCell ref="H56:H59"/>
    <mergeCell ref="J108:J111"/>
    <mergeCell ref="H100:H103"/>
    <mergeCell ref="I100:I103"/>
    <mergeCell ref="J100:J103"/>
    <mergeCell ref="J124:J127"/>
    <mergeCell ref="I124:I127"/>
    <mergeCell ref="G124:G127"/>
    <mergeCell ref="H124:H127"/>
    <mergeCell ref="I104:I107"/>
    <mergeCell ref="J104:J107"/>
    <mergeCell ref="K124:K127"/>
    <mergeCell ref="L124:L127"/>
    <mergeCell ref="B155:B158"/>
    <mergeCell ref="C155:C158"/>
    <mergeCell ref="E151:E154"/>
    <mergeCell ref="C151:C154"/>
    <mergeCell ref="B151:B154"/>
    <mergeCell ref="K151:K152"/>
    <mergeCell ref="G155:G156"/>
    <mergeCell ref="F151:F152"/>
    <mergeCell ref="F153:F154"/>
    <mergeCell ref="H151:H152"/>
    <mergeCell ref="C147:C150"/>
    <mergeCell ref="D151:D153"/>
    <mergeCell ref="N151:N153"/>
    <mergeCell ref="B147:B150"/>
    <mergeCell ref="C163:C167"/>
    <mergeCell ref="M166:M167"/>
    <mergeCell ref="L151:L152"/>
    <mergeCell ref="L153:L154"/>
    <mergeCell ref="I147:I148"/>
    <mergeCell ref="J147:J150"/>
    <mergeCell ref="D147:D149"/>
    <mergeCell ref="N147:N149"/>
    <mergeCell ref="F147:F148"/>
    <mergeCell ref="F149:F150"/>
    <mergeCell ref="E147:E150"/>
    <mergeCell ref="G147:G148"/>
    <mergeCell ref="G149:G150"/>
    <mergeCell ref="H147:H148"/>
    <mergeCell ref="H149:H150"/>
    <mergeCell ref="I149:I150"/>
    <mergeCell ref="K155:K156"/>
    <mergeCell ref="K157:K158"/>
    <mergeCell ref="N180:N182"/>
    <mergeCell ref="F180:F183"/>
    <mergeCell ref="E180:E183"/>
    <mergeCell ref="C180:C183"/>
    <mergeCell ref="I184:I187"/>
    <mergeCell ref="J184:J187"/>
    <mergeCell ref="J353:J356"/>
    <mergeCell ref="I353:I356"/>
    <mergeCell ref="N172:N174"/>
    <mergeCell ref="B348:B352"/>
    <mergeCell ref="C353:C356"/>
    <mergeCell ref="D168:D170"/>
    <mergeCell ref="J19:J23"/>
    <mergeCell ref="F24:F27"/>
    <mergeCell ref="E24:E27"/>
    <mergeCell ref="C24:C27"/>
    <mergeCell ref="C132:C137"/>
    <mergeCell ref="D132:D137"/>
    <mergeCell ref="H353:H356"/>
    <mergeCell ref="G353:G356"/>
    <mergeCell ref="F353:F356"/>
    <mergeCell ref="E353:E356"/>
    <mergeCell ref="N159:N161"/>
    <mergeCell ref="E155:E158"/>
    <mergeCell ref="F161:F162"/>
    <mergeCell ref="N176:N178"/>
    <mergeCell ref="J176:J179"/>
    <mergeCell ref="K176:K179"/>
    <mergeCell ref="N168:N170"/>
    <mergeCell ref="E163:E167"/>
    <mergeCell ref="D155:D157"/>
    <mergeCell ref="N155:N157"/>
    <mergeCell ref="B357:B360"/>
    <mergeCell ref="C361:C364"/>
    <mergeCell ref="B361:B364"/>
    <mergeCell ref="F361:F364"/>
    <mergeCell ref="E361:E364"/>
    <mergeCell ref="G361:G364"/>
    <mergeCell ref="C348:C352"/>
    <mergeCell ref="D348:D352"/>
    <mergeCell ref="E348:E352"/>
    <mergeCell ref="F348:F352"/>
    <mergeCell ref="E172:E175"/>
    <mergeCell ref="B180:B183"/>
    <mergeCell ref="B168:B170"/>
    <mergeCell ref="B353:B356"/>
    <mergeCell ref="C172:C175"/>
    <mergeCell ref="B172:B175"/>
    <mergeCell ref="F172:F173"/>
    <mergeCell ref="F174:F175"/>
    <mergeCell ref="C176:C179"/>
    <mergeCell ref="B176:B179"/>
    <mergeCell ref="E312:E315"/>
    <mergeCell ref="F312:F315"/>
    <mergeCell ref="G312:G315"/>
    <mergeCell ref="E232:E235"/>
    <mergeCell ref="G232:G235"/>
    <mergeCell ref="F232:F235"/>
    <mergeCell ref="C232:C235"/>
    <mergeCell ref="G240:G243"/>
    <mergeCell ref="E240:E243"/>
    <mergeCell ref="C240:C243"/>
    <mergeCell ref="F236:F239"/>
    <mergeCell ref="B240:B243"/>
    <mergeCell ref="B365:B368"/>
    <mergeCell ref="B369:B372"/>
    <mergeCell ref="C369:C372"/>
    <mergeCell ref="D393:D395"/>
    <mergeCell ref="E369:E372"/>
    <mergeCell ref="C389:C392"/>
    <mergeCell ref="E389:E392"/>
    <mergeCell ref="G377:G380"/>
    <mergeCell ref="F377:F380"/>
    <mergeCell ref="E377:E380"/>
    <mergeCell ref="C377:C380"/>
    <mergeCell ref="B377:B380"/>
    <mergeCell ref="F365:F368"/>
    <mergeCell ref="E365:E368"/>
    <mergeCell ref="G365:G368"/>
    <mergeCell ref="H365:H368"/>
    <mergeCell ref="D369:D371"/>
    <mergeCell ref="F373:F376"/>
    <mergeCell ref="G373:G376"/>
    <mergeCell ref="H373:H376"/>
    <mergeCell ref="F371:F372"/>
    <mergeCell ref="G371:G372"/>
    <mergeCell ref="E373:E376"/>
    <mergeCell ref="C373:C376"/>
    <mergeCell ref="B373:B376"/>
    <mergeCell ref="F389:F392"/>
    <mergeCell ref="B385:B388"/>
    <mergeCell ref="B389:B392"/>
    <mergeCell ref="G11:G12"/>
    <mergeCell ref="D20:D23"/>
    <mergeCell ref="E19:E23"/>
    <mergeCell ref="C19:C23"/>
    <mergeCell ref="B19:B23"/>
    <mergeCell ref="B10:B12"/>
    <mergeCell ref="C10:C12"/>
    <mergeCell ref="F10:F12"/>
    <mergeCell ref="B24:B27"/>
    <mergeCell ref="G52:G55"/>
    <mergeCell ref="H28:H31"/>
    <mergeCell ref="I28:I31"/>
    <mergeCell ref="N659:N664"/>
    <mergeCell ref="E10:E12"/>
    <mergeCell ref="I11:J11"/>
    <mergeCell ref="K11:K12"/>
    <mergeCell ref="L11:L12"/>
    <mergeCell ref="G10:L10"/>
    <mergeCell ref="H11:H12"/>
    <mergeCell ref="F659:F664"/>
    <mergeCell ref="J659:J664"/>
    <mergeCell ref="J566:J570"/>
    <mergeCell ref="N566:N570"/>
    <mergeCell ref="H575:H578"/>
    <mergeCell ref="I575:I578"/>
    <mergeCell ref="J575:J578"/>
    <mergeCell ref="K575:K578"/>
    <mergeCell ref="J587:J590"/>
    <mergeCell ref="K587:K590"/>
    <mergeCell ref="B533:B537"/>
    <mergeCell ref="C533:C537"/>
    <mergeCell ref="D533:D537"/>
    <mergeCell ref="C36:C39"/>
    <mergeCell ref="J28:J31"/>
    <mergeCell ref="K28:K31"/>
    <mergeCell ref="L28:L31"/>
    <mergeCell ref="E32:E35"/>
    <mergeCell ref="C32:C35"/>
    <mergeCell ref="F32:F35"/>
    <mergeCell ref="G32:G35"/>
    <mergeCell ref="L32:L35"/>
    <mergeCell ref="G56:G59"/>
    <mergeCell ref="E28:E31"/>
    <mergeCell ref="C28:C31"/>
    <mergeCell ref="B28:B31"/>
    <mergeCell ref="F28:F31"/>
    <mergeCell ref="G28:G31"/>
    <mergeCell ref="F36:F39"/>
    <mergeCell ref="E36:E39"/>
    <mergeCell ref="G36:G39"/>
    <mergeCell ref="B32:B35"/>
    <mergeCell ref="K32:K35"/>
    <mergeCell ref="E40:E43"/>
    <mergeCell ref="B40:B43"/>
    <mergeCell ref="C40:C43"/>
    <mergeCell ref="C44:C47"/>
    <mergeCell ref="E44:E47"/>
    <mergeCell ref="B44:B47"/>
    <mergeCell ref="B36:B39"/>
    <mergeCell ref="F40:F43"/>
    <mergeCell ref="F44:F47"/>
    <mergeCell ref="I40:I43"/>
    <mergeCell ref="I44:I47"/>
    <mergeCell ref="J32:J35"/>
    <mergeCell ref="H36:H39"/>
    <mergeCell ref="I36:I39"/>
    <mergeCell ref="J36:J39"/>
    <mergeCell ref="H32:H35"/>
    <mergeCell ref="I32:I35"/>
    <mergeCell ref="K36:K39"/>
    <mergeCell ref="I48:I51"/>
    <mergeCell ref="J40:J43"/>
    <mergeCell ref="J44:J47"/>
    <mergeCell ref="J48:J51"/>
    <mergeCell ref="K40:K43"/>
    <mergeCell ref="L40:L43"/>
    <mergeCell ref="K44:K47"/>
    <mergeCell ref="L44:L47"/>
    <mergeCell ref="K48:K51"/>
    <mergeCell ref="L48:L51"/>
    <mergeCell ref="L36:L39"/>
    <mergeCell ref="B48:B51"/>
    <mergeCell ref="C48:C51"/>
    <mergeCell ref="E48:E51"/>
    <mergeCell ref="H40:H43"/>
    <mergeCell ref="H44:H47"/>
    <mergeCell ref="H48:H51"/>
    <mergeCell ref="F48:F51"/>
    <mergeCell ref="G40:G43"/>
    <mergeCell ref="G44:G47"/>
    <mergeCell ref="G48:G51"/>
    <mergeCell ref="G60:G63"/>
    <mergeCell ref="H60:H63"/>
    <mergeCell ref="I60:I63"/>
    <mergeCell ref="K60:K63"/>
    <mergeCell ref="L60:L63"/>
    <mergeCell ref="B52:B55"/>
    <mergeCell ref="B56:B59"/>
    <mergeCell ref="B60:B63"/>
    <mergeCell ref="F52:F55"/>
    <mergeCell ref="E52:E55"/>
    <mergeCell ref="C52:C55"/>
    <mergeCell ref="C56:C59"/>
    <mergeCell ref="C60:C63"/>
    <mergeCell ref="E56:E59"/>
    <mergeCell ref="E60:E63"/>
    <mergeCell ref="F56:F59"/>
    <mergeCell ref="F60:F63"/>
    <mergeCell ref="L52:L55"/>
    <mergeCell ref="I52:I55"/>
    <mergeCell ref="I56:I59"/>
    <mergeCell ref="K56:K59"/>
    <mergeCell ref="L56:L59"/>
    <mergeCell ref="J52:J55"/>
    <mergeCell ref="H52:H55"/>
    <mergeCell ref="G68:G71"/>
    <mergeCell ref="L68:L71"/>
    <mergeCell ref="H68:H71"/>
    <mergeCell ref="F68:F71"/>
    <mergeCell ref="E68:E71"/>
    <mergeCell ref="C68:C71"/>
    <mergeCell ref="B68:B71"/>
    <mergeCell ref="I68:I71"/>
    <mergeCell ref="J68:J71"/>
    <mergeCell ref="K68:K71"/>
    <mergeCell ref="G64:G67"/>
    <mergeCell ref="F64:F67"/>
    <mergeCell ref="E64:E67"/>
    <mergeCell ref="C64:C67"/>
    <mergeCell ref="B64:B67"/>
    <mergeCell ref="J64:J67"/>
    <mergeCell ref="I64:I67"/>
    <mergeCell ref="H64:H67"/>
    <mergeCell ref="K64:K67"/>
    <mergeCell ref="L64:L67"/>
    <mergeCell ref="C76:C79"/>
    <mergeCell ref="B76:B79"/>
    <mergeCell ref="F76:F79"/>
    <mergeCell ref="L76:L79"/>
    <mergeCell ref="K76:K79"/>
    <mergeCell ref="J76:J79"/>
    <mergeCell ref="I76:I79"/>
    <mergeCell ref="H76:H79"/>
    <mergeCell ref="G76:G79"/>
    <mergeCell ref="H72:H75"/>
    <mergeCell ref="I72:I75"/>
    <mergeCell ref="J72:J75"/>
    <mergeCell ref="K72:K75"/>
    <mergeCell ref="L72:L75"/>
    <mergeCell ref="E76:E79"/>
    <mergeCell ref="B72:B75"/>
    <mergeCell ref="C72:C75"/>
    <mergeCell ref="E72:E75"/>
    <mergeCell ref="F72:F75"/>
    <mergeCell ref="G72:G75"/>
    <mergeCell ref="G92:G95"/>
    <mergeCell ref="H92:H95"/>
    <mergeCell ref="I92:I95"/>
    <mergeCell ref="J92:J95"/>
    <mergeCell ref="K92:K95"/>
    <mergeCell ref="L92:L95"/>
    <mergeCell ref="F84:F87"/>
    <mergeCell ref="E84:E87"/>
    <mergeCell ref="C84:C87"/>
    <mergeCell ref="B84:B87"/>
    <mergeCell ref="F92:F95"/>
    <mergeCell ref="E92:E95"/>
    <mergeCell ref="C92:C95"/>
    <mergeCell ref="B92:B95"/>
    <mergeCell ref="B88:B91"/>
    <mergeCell ref="C88:C91"/>
    <mergeCell ref="I80:I83"/>
    <mergeCell ref="J80:J83"/>
    <mergeCell ref="K80:K83"/>
    <mergeCell ref="L80:L83"/>
    <mergeCell ref="H84:H87"/>
    <mergeCell ref="G84:G87"/>
    <mergeCell ref="I84:I87"/>
    <mergeCell ref="J84:J87"/>
    <mergeCell ref="K84:K87"/>
    <mergeCell ref="L84:L87"/>
    <mergeCell ref="G80:G83"/>
    <mergeCell ref="F80:F83"/>
    <mergeCell ref="E80:E83"/>
    <mergeCell ref="C80:C83"/>
    <mergeCell ref="B80:B83"/>
    <mergeCell ref="H80:H83"/>
    <mergeCell ref="O166:O167"/>
    <mergeCell ref="P166:P167"/>
    <mergeCell ref="Q166:Q167"/>
    <mergeCell ref="L165:L167"/>
    <mergeCell ref="K165:K167"/>
    <mergeCell ref="J163:J167"/>
    <mergeCell ref="L163:L164"/>
    <mergeCell ref="N163:N165"/>
    <mergeCell ref="K163:K164"/>
    <mergeCell ref="J96:J99"/>
    <mergeCell ref="L97:L99"/>
    <mergeCell ref="K97:K99"/>
    <mergeCell ref="E96:E99"/>
    <mergeCell ref="F97:F99"/>
    <mergeCell ref="G97:G99"/>
    <mergeCell ref="H97:H99"/>
    <mergeCell ref="I97:I99"/>
    <mergeCell ref="G157:G158"/>
    <mergeCell ref="I155:I156"/>
    <mergeCell ref="I157:I158"/>
    <mergeCell ref="L155:L156"/>
    <mergeCell ref="K120:K123"/>
    <mergeCell ref="J120:J123"/>
    <mergeCell ref="G120:G123"/>
    <mergeCell ref="F120:F123"/>
    <mergeCell ref="H120:H123"/>
    <mergeCell ref="I120:I123"/>
    <mergeCell ref="L120:L123"/>
    <mergeCell ref="F124:F127"/>
    <mergeCell ref="H138:H141"/>
    <mergeCell ref="I138:I141"/>
    <mergeCell ref="J155:J158"/>
    <mergeCell ref="K184:K187"/>
    <mergeCell ref="L184:L187"/>
    <mergeCell ref="F409:F412"/>
    <mergeCell ref="G409:G412"/>
    <mergeCell ref="E409:E412"/>
    <mergeCell ref="C409:C412"/>
    <mergeCell ref="H409:H412"/>
    <mergeCell ref="I409:I412"/>
    <mergeCell ref="J409:J412"/>
    <mergeCell ref="K409:K412"/>
    <mergeCell ref="C184:C187"/>
    <mergeCell ref="E184:E187"/>
    <mergeCell ref="F184:F187"/>
    <mergeCell ref="G184:G187"/>
    <mergeCell ref="H184:H187"/>
    <mergeCell ref="G180:G183"/>
    <mergeCell ref="H180:H183"/>
    <mergeCell ref="H361:H364"/>
    <mergeCell ref="I361:I364"/>
    <mergeCell ref="C357:C360"/>
    <mergeCell ref="J361:J364"/>
    <mergeCell ref="C365:C368"/>
    <mergeCell ref="E357:E360"/>
    <mergeCell ref="F357:F358"/>
    <mergeCell ref="F359:F360"/>
    <mergeCell ref="G357:G358"/>
    <mergeCell ref="G359:G360"/>
    <mergeCell ref="J348:J352"/>
    <mergeCell ref="D357:D359"/>
    <mergeCell ref="K353:K356"/>
    <mergeCell ref="L353:L356"/>
    <mergeCell ref="H357:H358"/>
    <mergeCell ref="I571:I574"/>
    <mergeCell ref="J571:J574"/>
    <mergeCell ref="K538:K541"/>
    <mergeCell ref="L538:L541"/>
    <mergeCell ref="F538:F541"/>
    <mergeCell ref="L409:L412"/>
    <mergeCell ref="F413:F416"/>
    <mergeCell ref="E413:E416"/>
    <mergeCell ref="C413:C416"/>
    <mergeCell ref="B413:B416"/>
    <mergeCell ref="G413:G416"/>
    <mergeCell ref="H413:H416"/>
    <mergeCell ref="I413:I416"/>
    <mergeCell ref="J413:J416"/>
    <mergeCell ref="L413:L416"/>
    <mergeCell ref="E533:E537"/>
    <mergeCell ref="F550:F553"/>
    <mergeCell ref="G550:G553"/>
    <mergeCell ref="E550:E553"/>
    <mergeCell ref="C550:C553"/>
    <mergeCell ref="E546:E549"/>
    <mergeCell ref="C546:C549"/>
    <mergeCell ref="B409:B412"/>
    <mergeCell ref="K413:K416"/>
    <mergeCell ref="B425:B428"/>
    <mergeCell ref="E513:E516"/>
    <mergeCell ref="C513:C516"/>
    <mergeCell ref="K421:K424"/>
    <mergeCell ref="J421:J424"/>
    <mergeCell ref="H421:H424"/>
    <mergeCell ref="B513:B516"/>
    <mergeCell ref="C517:C520"/>
    <mergeCell ref="B655:B658"/>
    <mergeCell ref="I615:I618"/>
    <mergeCell ref="J615:J618"/>
    <mergeCell ref="K615:K618"/>
    <mergeCell ref="L615:L618"/>
    <mergeCell ref="E615:E618"/>
    <mergeCell ref="C615:C618"/>
    <mergeCell ref="F607:F610"/>
    <mergeCell ref="G607:G610"/>
    <mergeCell ref="H607:H610"/>
    <mergeCell ref="I607:I610"/>
    <mergeCell ref="J607:J610"/>
    <mergeCell ref="K607:K610"/>
    <mergeCell ref="L607:L610"/>
    <mergeCell ref="B611:B614"/>
    <mergeCell ref="C611:C614"/>
    <mergeCell ref="E611:E614"/>
    <mergeCell ref="F611:F614"/>
    <mergeCell ref="B607:B610"/>
    <mergeCell ref="L619:L622"/>
    <mergeCell ref="E631:E634"/>
    <mergeCell ref="G631:G634"/>
    <mergeCell ref="C631:C634"/>
    <mergeCell ref="H631:H634"/>
    <mergeCell ref="J635:J638"/>
    <mergeCell ref="K635:K638"/>
    <mergeCell ref="L635:L638"/>
    <mergeCell ref="F635:F638"/>
    <mergeCell ref="E635:E638"/>
    <mergeCell ref="C635:C638"/>
    <mergeCell ref="F647:F650"/>
    <mergeCell ref="E647:E650"/>
    <mergeCell ref="C607:C610"/>
    <mergeCell ref="E607:E610"/>
    <mergeCell ref="H542:H545"/>
    <mergeCell ref="I542:I545"/>
    <mergeCell ref="J542:J545"/>
    <mergeCell ref="J546:J549"/>
    <mergeCell ref="J554:J557"/>
    <mergeCell ref="B659:B664"/>
    <mergeCell ref="C659:C664"/>
    <mergeCell ref="D659:D664"/>
    <mergeCell ref="E659:E664"/>
    <mergeCell ref="H619:H622"/>
    <mergeCell ref="I619:I622"/>
    <mergeCell ref="J619:J622"/>
    <mergeCell ref="K571:K574"/>
    <mergeCell ref="I583:I586"/>
    <mergeCell ref="J583:J586"/>
    <mergeCell ref="K583:K586"/>
    <mergeCell ref="G611:G614"/>
    <mergeCell ref="H611:H614"/>
    <mergeCell ref="I611:I614"/>
    <mergeCell ref="J611:J614"/>
    <mergeCell ref="K611:K614"/>
    <mergeCell ref="B635:B638"/>
    <mergeCell ref="I635:I638"/>
    <mergeCell ref="F639:F642"/>
    <mergeCell ref="G639:G642"/>
    <mergeCell ref="E639:E642"/>
    <mergeCell ref="C639:C642"/>
    <mergeCell ref="B639:B642"/>
    <mergeCell ref="H639:H642"/>
    <mergeCell ref="E599:E602"/>
    <mergeCell ref="B603:B606"/>
    <mergeCell ref="C603:C606"/>
    <mergeCell ref="E603:E606"/>
    <mergeCell ref="F603:F606"/>
    <mergeCell ref="J562:J565"/>
    <mergeCell ref="J558:J561"/>
    <mergeCell ref="I558:I561"/>
    <mergeCell ref="H558:H561"/>
    <mergeCell ref="H579:H582"/>
    <mergeCell ref="J591:J594"/>
    <mergeCell ref="I591:I594"/>
    <mergeCell ref="B599:B602"/>
    <mergeCell ref="C599:C602"/>
    <mergeCell ref="G587:G590"/>
    <mergeCell ref="H587:H590"/>
    <mergeCell ref="I587:I590"/>
    <mergeCell ref="E579:E582"/>
    <mergeCell ref="C579:C582"/>
    <mergeCell ref="B579:B582"/>
    <mergeCell ref="I579:I582"/>
    <mergeCell ref="C587:C590"/>
    <mergeCell ref="B587:B590"/>
    <mergeCell ref="F587:F590"/>
    <mergeCell ref="E587:E590"/>
    <mergeCell ref="F562:F565"/>
    <mergeCell ref="C562:C565"/>
    <mergeCell ref="I562:I565"/>
    <mergeCell ref="F583:F586"/>
    <mergeCell ref="E583:E586"/>
    <mergeCell ref="C583:C586"/>
    <mergeCell ref="B583:B586"/>
    <mergeCell ref="G583:G586"/>
    <mergeCell ref="P663:P664"/>
    <mergeCell ref="Q663:Q664"/>
    <mergeCell ref="L583:L586"/>
    <mergeCell ref="F619:F622"/>
    <mergeCell ref="M663:M664"/>
    <mergeCell ref="O663:O664"/>
    <mergeCell ref="G603:G606"/>
    <mergeCell ref="H603:H606"/>
    <mergeCell ref="I603:I606"/>
    <mergeCell ref="J603:J606"/>
    <mergeCell ref="K603:K606"/>
    <mergeCell ref="L603:L606"/>
    <mergeCell ref="I631:I634"/>
    <mergeCell ref="J631:J634"/>
    <mergeCell ref="K631:K634"/>
    <mergeCell ref="L631:L634"/>
    <mergeCell ref="I627:I630"/>
    <mergeCell ref="F631:F634"/>
    <mergeCell ref="G635:G638"/>
    <mergeCell ref="L611:L614"/>
    <mergeCell ref="F651:F654"/>
    <mergeCell ref="K599:K602"/>
    <mergeCell ref="L599:L602"/>
    <mergeCell ref="F599:F602"/>
    <mergeCell ref="G599:G602"/>
    <mergeCell ref="H599:H602"/>
    <mergeCell ref="I599:I602"/>
    <mergeCell ref="J599:J602"/>
    <mergeCell ref="L587:L590"/>
    <mergeCell ref="H583:H586"/>
    <mergeCell ref="L562:L565"/>
    <mergeCell ref="B14:L18"/>
    <mergeCell ref="K554:K557"/>
    <mergeCell ref="L554:L557"/>
    <mergeCell ref="G558:G561"/>
    <mergeCell ref="B8:Q8"/>
    <mergeCell ref="B591:B594"/>
    <mergeCell ref="B163:B167"/>
    <mergeCell ref="E554:E557"/>
    <mergeCell ref="C554:C557"/>
    <mergeCell ref="B554:B557"/>
    <mergeCell ref="B562:B565"/>
    <mergeCell ref="G562:G565"/>
    <mergeCell ref="H562:H565"/>
    <mergeCell ref="F558:F561"/>
    <mergeCell ref="E558:E561"/>
    <mergeCell ref="E562:E565"/>
    <mergeCell ref="B558:B561"/>
    <mergeCell ref="C558:C561"/>
    <mergeCell ref="B538:B541"/>
    <mergeCell ref="G542:G545"/>
    <mergeCell ref="G575:G578"/>
    <mergeCell ref="F575:F578"/>
    <mergeCell ref="E575:E578"/>
    <mergeCell ref="C575:C578"/>
    <mergeCell ref="B575:B578"/>
    <mergeCell ref="B571:B574"/>
    <mergeCell ref="L425:L428"/>
    <mergeCell ref="F571:F574"/>
    <mergeCell ref="E571:E574"/>
    <mergeCell ref="G571:G574"/>
    <mergeCell ref="H571:H57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67" fitToHeight="0" orientation="landscape" r:id="rId1"/>
  <headerFooter differentFirst="1" alignWithMargins="0">
    <oddHeader>&amp;C&amp;P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9" tint="-0.249977111117893"/>
    <pageSetUpPr fitToPage="1"/>
  </sheetPr>
  <dimension ref="B1:V759"/>
  <sheetViews>
    <sheetView showWhiteSpace="0" topLeftCell="A11" zoomScale="75" zoomScaleNormal="75" workbookViewId="0">
      <pane ySplit="1515" topLeftCell="A422" activePane="bottomLeft"/>
      <selection activeCell="K100" sqref="K100:K103"/>
      <selection pane="bottomLeft" activeCell="K433" sqref="K433:K436"/>
    </sheetView>
  </sheetViews>
  <sheetFormatPr defaultColWidth="8.85546875" defaultRowHeight="15.75" x14ac:dyDescent="0.25"/>
  <cols>
    <col min="1" max="1" width="2.140625" style="37" customWidth="1"/>
    <col min="2" max="2" width="7" style="37" customWidth="1"/>
    <col min="3" max="3" width="9.85546875" style="37" customWidth="1"/>
    <col min="4" max="4" width="10.7109375" style="37" hidden="1" customWidth="1"/>
    <col min="5" max="5" width="13" style="37" customWidth="1"/>
    <col min="6" max="6" width="16.7109375" style="37" customWidth="1"/>
    <col min="7" max="7" width="22" style="37" customWidth="1"/>
    <col min="8" max="8" width="7.42578125" style="37" customWidth="1"/>
    <col min="9" max="9" width="16.85546875" style="37" customWidth="1"/>
    <col min="10" max="10" width="14.85546875" style="37" customWidth="1"/>
    <col min="11" max="11" width="9.5703125" style="37" customWidth="1"/>
    <col min="12" max="12" width="9" style="37" customWidth="1"/>
    <col min="13" max="13" width="8.7109375" style="37" customWidth="1"/>
    <col min="14" max="14" width="14.5703125" style="37" hidden="1" customWidth="1"/>
    <col min="15" max="15" width="12.42578125" style="37" customWidth="1"/>
    <col min="16" max="16" width="10.42578125" style="37" customWidth="1"/>
    <col min="17" max="17" width="11.140625" style="37" customWidth="1"/>
    <col min="18" max="18" width="12.85546875" style="37" customWidth="1"/>
    <col min="19" max="19" width="13.5703125" style="37" customWidth="1"/>
    <col min="20" max="20" width="14.140625" style="37" customWidth="1"/>
    <col min="21" max="21" width="8.85546875" style="37"/>
    <col min="22" max="22" width="8.85546875" style="37" customWidth="1"/>
    <col min="23" max="16384" width="8.85546875" style="37"/>
  </cols>
  <sheetData>
    <row r="1" spans="2:20" ht="16.5" customHeight="1" x14ac:dyDescent="0.25">
      <c r="I1" s="54" t="s">
        <v>497</v>
      </c>
      <c r="N1" s="54"/>
    </row>
    <row r="2" spans="2:20" x14ac:dyDescent="0.25">
      <c r="I2" s="54" t="s">
        <v>498</v>
      </c>
      <c r="N2" s="54"/>
    </row>
    <row r="3" spans="2:20" x14ac:dyDescent="0.25">
      <c r="I3" s="54" t="s">
        <v>499</v>
      </c>
      <c r="N3" s="54"/>
    </row>
    <row r="4" spans="2:20" x14ac:dyDescent="0.25">
      <c r="I4" s="54" t="s">
        <v>500</v>
      </c>
      <c r="N4" s="54"/>
    </row>
    <row r="5" spans="2:20" x14ac:dyDescent="0.25">
      <c r="I5" s="54" t="s">
        <v>858</v>
      </c>
      <c r="N5" s="54"/>
    </row>
    <row r="6" spans="2:20" x14ac:dyDescent="0.25">
      <c r="I6" s="54" t="s">
        <v>502</v>
      </c>
      <c r="N6" s="54"/>
    </row>
    <row r="7" spans="2:20" ht="18.75" customHeight="1" x14ac:dyDescent="0.25">
      <c r="B7" s="651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329"/>
      <c r="P7" s="329"/>
    </row>
    <row r="8" spans="2:20" ht="33.75" customHeight="1" x14ac:dyDescent="0.25">
      <c r="B8" s="1203" t="s">
        <v>863</v>
      </c>
      <c r="C8" s="1203"/>
      <c r="D8" s="1203"/>
      <c r="E8" s="1203"/>
      <c r="F8" s="1203"/>
      <c r="G8" s="1203"/>
      <c r="H8" s="1203"/>
      <c r="I8" s="1203"/>
      <c r="J8" s="1203"/>
      <c r="K8" s="1203"/>
      <c r="L8" s="1203"/>
      <c r="M8" s="1203"/>
      <c r="N8" s="1203"/>
      <c r="O8" s="1203"/>
      <c r="P8" s="1203"/>
      <c r="Q8" s="1203"/>
    </row>
    <row r="9" spans="2:20" ht="16.5" thickBot="1" x14ac:dyDescent="0.3"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</row>
    <row r="10" spans="2:20" ht="35.25" customHeight="1" thickBot="1" x14ac:dyDescent="0.3">
      <c r="B10" s="1275" t="s">
        <v>777</v>
      </c>
      <c r="C10" s="1275" t="s">
        <v>4</v>
      </c>
      <c r="D10" s="633" t="s">
        <v>50</v>
      </c>
      <c r="E10" s="1280" t="s">
        <v>50</v>
      </c>
      <c r="F10" s="1277" t="s">
        <v>149</v>
      </c>
      <c r="G10" s="1285" t="s">
        <v>17</v>
      </c>
      <c r="H10" s="1286"/>
      <c r="I10" s="1286"/>
      <c r="J10" s="1286"/>
      <c r="K10" s="1286"/>
      <c r="L10" s="1287"/>
      <c r="M10" s="1215" t="s">
        <v>776</v>
      </c>
      <c r="N10" s="1229"/>
      <c r="O10" s="1229"/>
      <c r="P10" s="1229"/>
      <c r="Q10" s="1280"/>
    </row>
    <row r="11" spans="2:20" ht="35.25" customHeight="1" thickBot="1" x14ac:dyDescent="0.3">
      <c r="B11" s="1199"/>
      <c r="C11" s="1199"/>
      <c r="D11" s="634"/>
      <c r="E11" s="1281"/>
      <c r="F11" s="1230"/>
      <c r="G11" s="1207" t="s">
        <v>18</v>
      </c>
      <c r="H11" s="1280" t="s">
        <v>148</v>
      </c>
      <c r="I11" s="1283" t="s">
        <v>150</v>
      </c>
      <c r="J11" s="1284"/>
      <c r="K11" s="1207" t="s">
        <v>773</v>
      </c>
      <c r="L11" s="1230" t="s">
        <v>774</v>
      </c>
      <c r="M11" s="1207" t="s">
        <v>775</v>
      </c>
      <c r="N11" s="1280">
        <v>2021</v>
      </c>
      <c r="O11" s="1215">
        <v>2022</v>
      </c>
      <c r="P11" s="1207">
        <v>2023</v>
      </c>
      <c r="Q11" s="1207">
        <v>2024</v>
      </c>
    </row>
    <row r="12" spans="2:20" ht="40.5" customHeight="1" thickBot="1" x14ac:dyDescent="0.3">
      <c r="B12" s="1236"/>
      <c r="C12" s="1276"/>
      <c r="D12" s="542" t="s">
        <v>51</v>
      </c>
      <c r="E12" s="1282"/>
      <c r="F12" s="1278"/>
      <c r="G12" s="1208"/>
      <c r="H12" s="1282"/>
      <c r="I12" s="635" t="s">
        <v>772</v>
      </c>
      <c r="J12" s="636" t="s">
        <v>58</v>
      </c>
      <c r="K12" s="1208"/>
      <c r="L12" s="1231"/>
      <c r="M12" s="1208"/>
      <c r="N12" s="1282"/>
      <c r="O12" s="1216"/>
      <c r="P12" s="1208"/>
      <c r="Q12" s="1208"/>
    </row>
    <row r="13" spans="2:20" ht="16.5" thickBot="1" x14ac:dyDescent="0.3">
      <c r="B13" s="637">
        <v>1</v>
      </c>
      <c r="C13" s="638">
        <v>2</v>
      </c>
      <c r="D13" s="639">
        <v>4</v>
      </c>
      <c r="E13" s="637">
        <v>3</v>
      </c>
      <c r="F13" s="638">
        <v>4</v>
      </c>
      <c r="G13" s="637">
        <v>5</v>
      </c>
      <c r="H13" s="637">
        <v>6</v>
      </c>
      <c r="I13" s="637">
        <v>7</v>
      </c>
      <c r="J13" s="638">
        <v>8</v>
      </c>
      <c r="K13" s="637">
        <v>9</v>
      </c>
      <c r="L13" s="638">
        <v>10</v>
      </c>
      <c r="M13" s="637">
        <v>11</v>
      </c>
      <c r="N13" s="640"/>
      <c r="O13" s="641">
        <v>12</v>
      </c>
      <c r="P13" s="637">
        <v>13</v>
      </c>
      <c r="Q13" s="637">
        <v>14</v>
      </c>
    </row>
    <row r="14" spans="2:20" ht="16.5" thickBot="1" x14ac:dyDescent="0.3">
      <c r="B14" s="1193" t="s">
        <v>864</v>
      </c>
      <c r="C14" s="1194"/>
      <c r="D14" s="1194"/>
      <c r="E14" s="1194"/>
      <c r="F14" s="1194"/>
      <c r="G14" s="1194"/>
      <c r="H14" s="1194"/>
      <c r="I14" s="1194"/>
      <c r="J14" s="1194"/>
      <c r="K14" s="1194"/>
      <c r="L14" s="1195"/>
      <c r="M14" s="542" t="s">
        <v>122</v>
      </c>
      <c r="N14" s="665"/>
      <c r="O14" s="731">
        <f>O15+O16</f>
        <v>617583.71100000001</v>
      </c>
      <c r="P14" s="667">
        <f t="shared" ref="P14:Q17" si="0">P19+P144+P372+P573+P703</f>
        <v>618146.36600000004</v>
      </c>
      <c r="Q14" s="668">
        <f t="shared" si="0"/>
        <v>534202.11800000002</v>
      </c>
      <c r="R14" s="631">
        <v>617583.69999999995</v>
      </c>
      <c r="S14" s="632">
        <v>618146.36</v>
      </c>
      <c r="T14" s="631">
        <v>534202.11</v>
      </c>
    </row>
    <row r="15" spans="2:20" ht="16.5" thickBot="1" x14ac:dyDescent="0.3">
      <c r="B15" s="1196"/>
      <c r="C15" s="1197"/>
      <c r="D15" s="1197"/>
      <c r="E15" s="1197"/>
      <c r="F15" s="1197"/>
      <c r="G15" s="1197"/>
      <c r="H15" s="1197"/>
      <c r="I15" s="1197"/>
      <c r="J15" s="1197"/>
      <c r="K15" s="1197"/>
      <c r="L15" s="1198"/>
      <c r="M15" s="636" t="s">
        <v>123</v>
      </c>
      <c r="N15" s="665"/>
      <c r="O15" s="731">
        <f>O20+O145+O373+O574+O704</f>
        <v>76823.819999999992</v>
      </c>
      <c r="P15" s="667">
        <f t="shared" si="0"/>
        <v>4560</v>
      </c>
      <c r="Q15" s="668">
        <f t="shared" si="0"/>
        <v>4560</v>
      </c>
      <c r="R15" s="37">
        <v>76823.820000000007</v>
      </c>
      <c r="S15" s="37">
        <v>4560</v>
      </c>
      <c r="T15" s="37">
        <v>4560</v>
      </c>
    </row>
    <row r="16" spans="2:20" ht="16.5" thickBot="1" x14ac:dyDescent="0.3">
      <c r="B16" s="1196"/>
      <c r="C16" s="1197"/>
      <c r="D16" s="1197"/>
      <c r="E16" s="1197"/>
      <c r="F16" s="1197"/>
      <c r="G16" s="1197"/>
      <c r="H16" s="1197"/>
      <c r="I16" s="1197"/>
      <c r="J16" s="1197"/>
      <c r="K16" s="1197"/>
      <c r="L16" s="1198"/>
      <c r="M16" s="672" t="s">
        <v>124</v>
      </c>
      <c r="N16" s="665"/>
      <c r="O16" s="731">
        <f>O21+O146+O374+O575+O705</f>
        <v>540759.89100000006</v>
      </c>
      <c r="P16" s="667">
        <f t="shared" si="0"/>
        <v>613136.36600000004</v>
      </c>
      <c r="Q16" s="668">
        <f t="shared" si="0"/>
        <v>529642.11800000002</v>
      </c>
      <c r="R16" s="745">
        <f>R14-O14</f>
        <v>-1.1000000056810677E-2</v>
      </c>
      <c r="S16" s="745">
        <f>S14-P14</f>
        <v>-6.0000000521540642E-3</v>
      </c>
      <c r="T16" s="745">
        <f t="shared" ref="R16:T17" si="1">T14-Q14</f>
        <v>-8.000000030733645E-3</v>
      </c>
    </row>
    <row r="17" spans="2:20" ht="16.5" thickBot="1" x14ac:dyDescent="0.3">
      <c r="B17" s="1196"/>
      <c r="C17" s="1197"/>
      <c r="D17" s="1197"/>
      <c r="E17" s="1197"/>
      <c r="F17" s="1197"/>
      <c r="G17" s="1197"/>
      <c r="H17" s="1197"/>
      <c r="I17" s="1197"/>
      <c r="J17" s="1197"/>
      <c r="K17" s="1197"/>
      <c r="L17" s="1198"/>
      <c r="M17" s="547" t="s">
        <v>745</v>
      </c>
      <c r="N17" s="665"/>
      <c r="O17" s="731">
        <f>O22+O147+O375+O576+O706</f>
        <v>100843.47308</v>
      </c>
      <c r="P17" s="667">
        <f t="shared" si="0"/>
        <v>0</v>
      </c>
      <c r="Q17" s="668">
        <f t="shared" si="0"/>
        <v>0</v>
      </c>
      <c r="R17" s="748">
        <f t="shared" si="1"/>
        <v>0</v>
      </c>
      <c r="S17" s="51">
        <f t="shared" si="1"/>
        <v>0</v>
      </c>
      <c r="T17" s="51">
        <f t="shared" si="1"/>
        <v>0</v>
      </c>
    </row>
    <row r="18" spans="2:20" ht="16.5" thickBot="1" x14ac:dyDescent="0.3">
      <c r="B18" s="1196"/>
      <c r="C18" s="1197"/>
      <c r="D18" s="1197"/>
      <c r="E18" s="1197"/>
      <c r="F18" s="1197"/>
      <c r="G18" s="1197"/>
      <c r="H18" s="1197"/>
      <c r="I18" s="1197"/>
      <c r="J18" s="1197"/>
      <c r="K18" s="1197"/>
      <c r="L18" s="1198"/>
      <c r="M18" s="664"/>
      <c r="N18" s="665"/>
      <c r="O18" s="665"/>
      <c r="P18" s="666"/>
      <c r="Q18" s="664"/>
    </row>
    <row r="19" spans="2:20" ht="28.5" customHeight="1" thickBot="1" x14ac:dyDescent="0.3">
      <c r="B19" s="1206" t="s">
        <v>63</v>
      </c>
      <c r="C19" s="1207" t="s">
        <v>116</v>
      </c>
      <c r="D19" s="541"/>
      <c r="E19" s="1273" t="s">
        <v>116</v>
      </c>
      <c r="F19" s="1207" t="s">
        <v>583</v>
      </c>
      <c r="G19" s="678" t="s">
        <v>230</v>
      </c>
      <c r="H19" s="683" t="s">
        <v>240</v>
      </c>
      <c r="I19" s="671" t="s">
        <v>778</v>
      </c>
      <c r="J19" s="1206" t="s">
        <v>462</v>
      </c>
      <c r="K19" s="542">
        <v>201</v>
      </c>
      <c r="L19" s="542">
        <v>202</v>
      </c>
      <c r="M19" s="542" t="s">
        <v>122</v>
      </c>
      <c r="N19" s="543"/>
      <c r="O19" s="544">
        <f t="shared" ref="O19:Q22" si="2">O24+O64+O100+O112+O132</f>
        <v>24706.441999999999</v>
      </c>
      <c r="P19" s="544">
        <f t="shared" si="2"/>
        <v>22992.33</v>
      </c>
      <c r="Q19" s="675">
        <f t="shared" si="2"/>
        <v>20416.259999999998</v>
      </c>
      <c r="R19" s="37">
        <v>24706.44</v>
      </c>
      <c r="S19" s="37">
        <v>22992.33</v>
      </c>
      <c r="T19" s="37">
        <v>20416.259999999998</v>
      </c>
    </row>
    <row r="20" spans="2:20" ht="27.75" customHeight="1" thickBot="1" x14ac:dyDescent="0.3">
      <c r="B20" s="1204"/>
      <c r="C20" s="1199"/>
      <c r="D20" s="1272"/>
      <c r="E20" s="1274"/>
      <c r="F20" s="1199"/>
      <c r="G20" s="545" t="s">
        <v>231</v>
      </c>
      <c r="H20" s="546" t="s">
        <v>241</v>
      </c>
      <c r="I20" s="547" t="s">
        <v>779</v>
      </c>
      <c r="J20" s="1204"/>
      <c r="K20" s="547" t="s">
        <v>780</v>
      </c>
      <c r="L20" s="548" t="s">
        <v>781</v>
      </c>
      <c r="M20" s="636" t="s">
        <v>123</v>
      </c>
      <c r="N20" s="549"/>
      <c r="O20" s="544">
        <f t="shared" si="2"/>
        <v>218.74</v>
      </c>
      <c r="P20" s="544">
        <f t="shared" si="2"/>
        <v>0</v>
      </c>
      <c r="Q20" s="675">
        <f t="shared" si="2"/>
        <v>0</v>
      </c>
      <c r="S20" s="51">
        <f>S19-P19</f>
        <v>0</v>
      </c>
      <c r="T20" s="51">
        <f>T19-Q19</f>
        <v>0</v>
      </c>
    </row>
    <row r="21" spans="2:20" ht="26.25" customHeight="1" thickBot="1" x14ac:dyDescent="0.3">
      <c r="B21" s="1204"/>
      <c r="C21" s="1199"/>
      <c r="D21" s="1272"/>
      <c r="E21" s="1274"/>
      <c r="F21" s="1199"/>
      <c r="G21" s="677" t="s">
        <v>187</v>
      </c>
      <c r="H21" s="684" t="s">
        <v>241</v>
      </c>
      <c r="I21" s="669">
        <v>55</v>
      </c>
      <c r="J21" s="1204"/>
      <c r="K21" s="669">
        <v>55</v>
      </c>
      <c r="L21" s="679">
        <v>55</v>
      </c>
      <c r="M21" s="672" t="s">
        <v>124</v>
      </c>
      <c r="N21" s="550"/>
      <c r="O21" s="544">
        <f t="shared" si="2"/>
        <v>24487.701999999997</v>
      </c>
      <c r="P21" s="544">
        <f t="shared" si="2"/>
        <v>22992.33</v>
      </c>
      <c r="Q21" s="675">
        <f t="shared" si="2"/>
        <v>20416.259999999998</v>
      </c>
      <c r="R21" s="745">
        <f>R19-O19</f>
        <v>-2.0000000004074536E-3</v>
      </c>
    </row>
    <row r="22" spans="2:20" ht="27.75" customHeight="1" thickBot="1" x14ac:dyDescent="0.3">
      <c r="B22" s="1204"/>
      <c r="C22" s="1199"/>
      <c r="D22" s="1272"/>
      <c r="E22" s="1274"/>
      <c r="F22" s="1199"/>
      <c r="G22" s="545" t="s">
        <v>232</v>
      </c>
      <c r="H22" s="546" t="s">
        <v>240</v>
      </c>
      <c r="I22" s="547">
        <v>50</v>
      </c>
      <c r="J22" s="1204"/>
      <c r="K22" s="547">
        <v>50</v>
      </c>
      <c r="L22" s="548">
        <v>50</v>
      </c>
      <c r="M22" s="547" t="s">
        <v>745</v>
      </c>
      <c r="N22" s="549"/>
      <c r="O22" s="551">
        <f t="shared" si="2"/>
        <v>5484.9989999999998</v>
      </c>
      <c r="P22" s="551">
        <f t="shared" si="2"/>
        <v>0</v>
      </c>
      <c r="Q22" s="552">
        <f t="shared" si="2"/>
        <v>0</v>
      </c>
    </row>
    <row r="23" spans="2:20" ht="44.25" customHeight="1" thickBot="1" x14ac:dyDescent="0.3">
      <c r="B23" s="1204"/>
      <c r="C23" s="1199"/>
      <c r="D23" s="1272"/>
      <c r="E23" s="1274"/>
      <c r="F23" s="1199"/>
      <c r="G23" s="677" t="s">
        <v>254</v>
      </c>
      <c r="H23" s="684" t="s">
        <v>240</v>
      </c>
      <c r="I23" s="669">
        <v>1</v>
      </c>
      <c r="J23" s="1204"/>
      <c r="K23" s="669">
        <v>1</v>
      </c>
      <c r="L23" s="679">
        <v>1</v>
      </c>
      <c r="M23" s="642"/>
      <c r="N23" s="553"/>
      <c r="O23" s="554"/>
      <c r="P23" s="554"/>
      <c r="Q23" s="554"/>
    </row>
    <row r="24" spans="2:20" ht="72" customHeight="1" thickBot="1" x14ac:dyDescent="0.3">
      <c r="B24" s="1206" t="s">
        <v>63</v>
      </c>
      <c r="C24" s="1215">
        <v>40404</v>
      </c>
      <c r="D24" s="654" t="s">
        <v>116</v>
      </c>
      <c r="E24" s="1232" t="s">
        <v>116</v>
      </c>
      <c r="F24" s="1305" t="s">
        <v>585</v>
      </c>
      <c r="G24" s="1200" t="s">
        <v>230</v>
      </c>
      <c r="H24" s="1232" t="s">
        <v>240</v>
      </c>
      <c r="I24" s="1206" t="s">
        <v>778</v>
      </c>
      <c r="J24" s="1206" t="s">
        <v>462</v>
      </c>
      <c r="K24" s="1269" t="s">
        <v>782</v>
      </c>
      <c r="L24" s="1206" t="s">
        <v>783</v>
      </c>
      <c r="M24" s="636" t="s">
        <v>122</v>
      </c>
      <c r="N24" s="549">
        <f>N28+N32+N36+N40+N44+N48+N52+N56+N60</f>
        <v>2908.8589999999999</v>
      </c>
      <c r="O24" s="551">
        <f>O28+O32+O36+O40+O44+O48+O52+O56+O60</f>
        <v>3373.7400000000002</v>
      </c>
      <c r="P24" s="552">
        <f>P28+P32+P36+P40+P44+P48+P52+P56+P60</f>
        <v>3373.7400000000002</v>
      </c>
      <c r="Q24" s="552">
        <f>Q28+Q32+Q36+Q40+Q44+Q48+Q52+Q56+Q60</f>
        <v>3373.7400000000002</v>
      </c>
    </row>
    <row r="25" spans="2:20" ht="21" customHeight="1" thickBot="1" x14ac:dyDescent="0.3">
      <c r="B25" s="1204"/>
      <c r="C25" s="1192"/>
      <c r="D25" s="555"/>
      <c r="E25" s="1209"/>
      <c r="F25" s="1233"/>
      <c r="G25" s="1201"/>
      <c r="H25" s="1209"/>
      <c r="I25" s="1204"/>
      <c r="J25" s="1204"/>
      <c r="K25" s="1270"/>
      <c r="L25" s="1204"/>
      <c r="M25" s="636" t="s">
        <v>123</v>
      </c>
      <c r="N25" s="549"/>
      <c r="O25" s="551">
        <v>0</v>
      </c>
      <c r="P25" s="552">
        <v>0</v>
      </c>
      <c r="Q25" s="552">
        <v>0</v>
      </c>
    </row>
    <row r="26" spans="2:20" ht="21" customHeight="1" thickBot="1" x14ac:dyDescent="0.3">
      <c r="B26" s="1204"/>
      <c r="C26" s="1192"/>
      <c r="D26" s="555"/>
      <c r="E26" s="1209"/>
      <c r="F26" s="1233"/>
      <c r="G26" s="1201"/>
      <c r="H26" s="1209"/>
      <c r="I26" s="1204"/>
      <c r="J26" s="1204"/>
      <c r="K26" s="1270"/>
      <c r="L26" s="1204"/>
      <c r="M26" s="672" t="s">
        <v>124</v>
      </c>
      <c r="N26" s="556"/>
      <c r="O26" s="557">
        <f>O30+O34+O38+O42+O46+O50+O54+O58+O62</f>
        <v>3373.7400000000002</v>
      </c>
      <c r="P26" s="557">
        <f>P30+P34+P38+P42+P46+P50+P54+P58+P62</f>
        <v>3373.7400000000002</v>
      </c>
      <c r="Q26" s="676">
        <f>Q30+Q34+Q38+Q42+Q46+Q50+Q54+Q58+Q62</f>
        <v>3373.7400000000002</v>
      </c>
    </row>
    <row r="27" spans="2:20" ht="21.75" customHeight="1" thickBot="1" x14ac:dyDescent="0.3">
      <c r="B27" s="1205"/>
      <c r="C27" s="1216"/>
      <c r="D27" s="558"/>
      <c r="E27" s="1210"/>
      <c r="F27" s="1306"/>
      <c r="G27" s="1202"/>
      <c r="H27" s="1210"/>
      <c r="I27" s="1205"/>
      <c r="J27" s="1205"/>
      <c r="K27" s="1271"/>
      <c r="L27" s="1205"/>
      <c r="M27" s="547" t="s">
        <v>745</v>
      </c>
      <c r="N27" s="559"/>
      <c r="O27" s="557">
        <v>0</v>
      </c>
      <c r="P27" s="676">
        <v>0</v>
      </c>
      <c r="Q27" s="676">
        <v>0</v>
      </c>
    </row>
    <row r="28" spans="2:20" ht="29.25" customHeight="1" thickBot="1" x14ac:dyDescent="0.3">
      <c r="B28" s="1206" t="s">
        <v>63</v>
      </c>
      <c r="C28" s="1215">
        <v>40404</v>
      </c>
      <c r="D28" s="682">
        <v>27300364</v>
      </c>
      <c r="E28" s="1207" t="s">
        <v>614</v>
      </c>
      <c r="F28" s="1200" t="s">
        <v>389</v>
      </c>
      <c r="G28" s="1200" t="s">
        <v>391</v>
      </c>
      <c r="H28" s="1232" t="s">
        <v>393</v>
      </c>
      <c r="I28" s="1206" t="s">
        <v>394</v>
      </c>
      <c r="J28" s="1206" t="s">
        <v>462</v>
      </c>
      <c r="K28" s="1269" t="s">
        <v>394</v>
      </c>
      <c r="L28" s="1206" t="s">
        <v>394</v>
      </c>
      <c r="M28" s="542" t="s">
        <v>122</v>
      </c>
      <c r="N28" s="543" t="s">
        <v>631</v>
      </c>
      <c r="O28" s="544">
        <v>410.4</v>
      </c>
      <c r="P28" s="675" t="s">
        <v>720</v>
      </c>
      <c r="Q28" s="675" t="s">
        <v>720</v>
      </c>
    </row>
    <row r="29" spans="2:20" ht="23.25" customHeight="1" thickBot="1" x14ac:dyDescent="0.3">
      <c r="B29" s="1204"/>
      <c r="C29" s="1192"/>
      <c r="D29" s="682"/>
      <c r="E29" s="1199"/>
      <c r="F29" s="1201"/>
      <c r="G29" s="1201"/>
      <c r="H29" s="1209"/>
      <c r="I29" s="1204"/>
      <c r="J29" s="1204"/>
      <c r="K29" s="1270"/>
      <c r="L29" s="1204"/>
      <c r="M29" s="636" t="s">
        <v>123</v>
      </c>
      <c r="N29" s="549"/>
      <c r="O29" s="551">
        <v>0</v>
      </c>
      <c r="P29" s="552">
        <v>0</v>
      </c>
      <c r="Q29" s="552">
        <v>0</v>
      </c>
    </row>
    <row r="30" spans="2:20" ht="23.25" customHeight="1" thickBot="1" x14ac:dyDescent="0.3">
      <c r="B30" s="1204"/>
      <c r="C30" s="1192"/>
      <c r="D30" s="682"/>
      <c r="E30" s="1199"/>
      <c r="F30" s="1201"/>
      <c r="G30" s="1201"/>
      <c r="H30" s="1209"/>
      <c r="I30" s="1204"/>
      <c r="J30" s="1204"/>
      <c r="K30" s="1270"/>
      <c r="L30" s="1204"/>
      <c r="M30" s="672" t="s">
        <v>124</v>
      </c>
      <c r="N30" s="556"/>
      <c r="O30" s="557">
        <v>410.4</v>
      </c>
      <c r="P30" s="676" t="s">
        <v>720</v>
      </c>
      <c r="Q30" s="676" t="s">
        <v>720</v>
      </c>
    </row>
    <row r="31" spans="2:20" ht="27" customHeight="1" thickBot="1" x14ac:dyDescent="0.3">
      <c r="B31" s="1204"/>
      <c r="C31" s="1192"/>
      <c r="D31" s="673"/>
      <c r="E31" s="1199"/>
      <c r="F31" s="1201"/>
      <c r="G31" s="1201"/>
      <c r="H31" s="1209"/>
      <c r="I31" s="1204"/>
      <c r="J31" s="1204"/>
      <c r="K31" s="1270"/>
      <c r="L31" s="1204"/>
      <c r="M31" s="671" t="s">
        <v>745</v>
      </c>
      <c r="N31" s="560"/>
      <c r="O31" s="561">
        <v>0</v>
      </c>
      <c r="P31" s="562">
        <v>0</v>
      </c>
      <c r="Q31" s="562">
        <v>0</v>
      </c>
    </row>
    <row r="32" spans="2:20" ht="21.75" customHeight="1" thickBot="1" x14ac:dyDescent="0.3">
      <c r="B32" s="1206" t="s">
        <v>63</v>
      </c>
      <c r="C32" s="1215">
        <v>40404</v>
      </c>
      <c r="D32" s="654">
        <v>27300364</v>
      </c>
      <c r="E32" s="1207" t="s">
        <v>192</v>
      </c>
      <c r="F32" s="1200" t="s">
        <v>390</v>
      </c>
      <c r="G32" s="1200" t="s">
        <v>392</v>
      </c>
      <c r="H32" s="1232" t="s">
        <v>393</v>
      </c>
      <c r="I32" s="1206" t="s">
        <v>723</v>
      </c>
      <c r="J32" s="1206" t="s">
        <v>462</v>
      </c>
      <c r="K32" s="1269" t="s">
        <v>723</v>
      </c>
      <c r="L32" s="1206" t="s">
        <v>723</v>
      </c>
      <c r="M32" s="542" t="s">
        <v>122</v>
      </c>
      <c r="N32" s="543" t="s">
        <v>630</v>
      </c>
      <c r="O32" s="544">
        <v>818</v>
      </c>
      <c r="P32" s="675" t="s">
        <v>722</v>
      </c>
      <c r="Q32" s="675" t="s">
        <v>722</v>
      </c>
    </row>
    <row r="33" spans="2:17" ht="21.75" customHeight="1" thickBot="1" x14ac:dyDescent="0.3">
      <c r="B33" s="1204"/>
      <c r="C33" s="1192"/>
      <c r="D33" s="555"/>
      <c r="E33" s="1199"/>
      <c r="F33" s="1201"/>
      <c r="G33" s="1201"/>
      <c r="H33" s="1209"/>
      <c r="I33" s="1204"/>
      <c r="J33" s="1204"/>
      <c r="K33" s="1270"/>
      <c r="L33" s="1204"/>
      <c r="M33" s="636" t="s">
        <v>123</v>
      </c>
      <c r="N33" s="549"/>
      <c r="O33" s="551">
        <v>0</v>
      </c>
      <c r="P33" s="552">
        <v>0</v>
      </c>
      <c r="Q33" s="552">
        <v>0</v>
      </c>
    </row>
    <row r="34" spans="2:17" ht="21.75" customHeight="1" thickBot="1" x14ac:dyDescent="0.3">
      <c r="B34" s="1204"/>
      <c r="C34" s="1192"/>
      <c r="D34" s="555"/>
      <c r="E34" s="1199"/>
      <c r="F34" s="1201"/>
      <c r="G34" s="1201"/>
      <c r="H34" s="1209"/>
      <c r="I34" s="1204"/>
      <c r="J34" s="1204"/>
      <c r="K34" s="1270"/>
      <c r="L34" s="1204"/>
      <c r="M34" s="672" t="s">
        <v>124</v>
      </c>
      <c r="N34" s="556"/>
      <c r="O34" s="557">
        <v>818</v>
      </c>
      <c r="P34" s="676" t="s">
        <v>722</v>
      </c>
      <c r="Q34" s="676" t="s">
        <v>722</v>
      </c>
    </row>
    <row r="35" spans="2:17" ht="21.75" customHeight="1" thickBot="1" x14ac:dyDescent="0.3">
      <c r="B35" s="1205"/>
      <c r="C35" s="1216"/>
      <c r="D35" s="558"/>
      <c r="E35" s="1208"/>
      <c r="F35" s="1202"/>
      <c r="G35" s="1202"/>
      <c r="H35" s="1210"/>
      <c r="I35" s="1205"/>
      <c r="J35" s="1205"/>
      <c r="K35" s="1271"/>
      <c r="L35" s="1205"/>
      <c r="M35" s="547" t="s">
        <v>745</v>
      </c>
      <c r="N35" s="559"/>
      <c r="O35" s="557">
        <v>0</v>
      </c>
      <c r="P35" s="676">
        <v>0</v>
      </c>
      <c r="Q35" s="676">
        <v>0</v>
      </c>
    </row>
    <row r="36" spans="2:17" ht="24" customHeight="1" thickBot="1" x14ac:dyDescent="0.3">
      <c r="B36" s="1206" t="s">
        <v>63</v>
      </c>
      <c r="C36" s="1215">
        <v>40404</v>
      </c>
      <c r="D36" s="654">
        <v>27300364</v>
      </c>
      <c r="E36" s="1207" t="s">
        <v>192</v>
      </c>
      <c r="F36" s="1200" t="s">
        <v>402</v>
      </c>
      <c r="G36" s="1200" t="s">
        <v>882</v>
      </c>
      <c r="H36" s="1232" t="s">
        <v>403</v>
      </c>
      <c r="I36" s="1206" t="s">
        <v>725</v>
      </c>
      <c r="J36" s="1206" t="s">
        <v>462</v>
      </c>
      <c r="K36" s="1206" t="s">
        <v>725</v>
      </c>
      <c r="L36" s="1206" t="s">
        <v>725</v>
      </c>
      <c r="M36" s="542" t="s">
        <v>122</v>
      </c>
      <c r="N36" s="543">
        <f>1051.85+71.964+0.04</f>
        <v>1123.8539999999998</v>
      </c>
      <c r="O36" s="544">
        <v>1408</v>
      </c>
      <c r="P36" s="675" t="s">
        <v>724</v>
      </c>
      <c r="Q36" s="675" t="s">
        <v>724</v>
      </c>
    </row>
    <row r="37" spans="2:17" ht="21.75" customHeight="1" thickBot="1" x14ac:dyDescent="0.3">
      <c r="B37" s="1204"/>
      <c r="C37" s="1192"/>
      <c r="D37" s="555"/>
      <c r="E37" s="1199"/>
      <c r="F37" s="1201"/>
      <c r="G37" s="1201"/>
      <c r="H37" s="1209"/>
      <c r="I37" s="1204"/>
      <c r="J37" s="1204"/>
      <c r="K37" s="1204"/>
      <c r="L37" s="1204"/>
      <c r="M37" s="636" t="s">
        <v>123</v>
      </c>
      <c r="N37" s="549"/>
      <c r="O37" s="551">
        <v>0</v>
      </c>
      <c r="P37" s="552">
        <v>0</v>
      </c>
      <c r="Q37" s="552">
        <v>0</v>
      </c>
    </row>
    <row r="38" spans="2:17" ht="20.25" customHeight="1" thickBot="1" x14ac:dyDescent="0.3">
      <c r="B38" s="1204"/>
      <c r="C38" s="1192"/>
      <c r="D38" s="555"/>
      <c r="E38" s="1199"/>
      <c r="F38" s="1201"/>
      <c r="G38" s="1201"/>
      <c r="H38" s="1209"/>
      <c r="I38" s="1204"/>
      <c r="J38" s="1204"/>
      <c r="K38" s="1204"/>
      <c r="L38" s="1204"/>
      <c r="M38" s="672" t="s">
        <v>124</v>
      </c>
      <c r="N38" s="556"/>
      <c r="O38" s="557">
        <v>1408</v>
      </c>
      <c r="P38" s="676" t="s">
        <v>724</v>
      </c>
      <c r="Q38" s="676" t="s">
        <v>724</v>
      </c>
    </row>
    <row r="39" spans="2:17" ht="21.75" customHeight="1" thickBot="1" x14ac:dyDescent="0.3">
      <c r="B39" s="1205"/>
      <c r="C39" s="1216"/>
      <c r="D39" s="558"/>
      <c r="E39" s="1208"/>
      <c r="F39" s="1202"/>
      <c r="G39" s="1202"/>
      <c r="H39" s="1210"/>
      <c r="I39" s="1205"/>
      <c r="J39" s="1205"/>
      <c r="K39" s="1205"/>
      <c r="L39" s="1205"/>
      <c r="M39" s="671" t="s">
        <v>745</v>
      </c>
      <c r="N39" s="560"/>
      <c r="O39" s="561">
        <v>0</v>
      </c>
      <c r="P39" s="562">
        <v>0</v>
      </c>
      <c r="Q39" s="562">
        <v>0</v>
      </c>
    </row>
    <row r="40" spans="2:17" ht="25.5" customHeight="1" thickBot="1" x14ac:dyDescent="0.3">
      <c r="B40" s="1206" t="s">
        <v>63</v>
      </c>
      <c r="C40" s="1215">
        <v>40404</v>
      </c>
      <c r="D40" s="654">
        <v>27300364</v>
      </c>
      <c r="E40" s="1207" t="s">
        <v>192</v>
      </c>
      <c r="F40" s="1200" t="s">
        <v>399</v>
      </c>
      <c r="G40" s="1200" t="s">
        <v>617</v>
      </c>
      <c r="H40" s="1232" t="s">
        <v>400</v>
      </c>
      <c r="I40" s="1206" t="s">
        <v>727</v>
      </c>
      <c r="J40" s="1206" t="s">
        <v>462</v>
      </c>
      <c r="K40" s="1206" t="s">
        <v>727</v>
      </c>
      <c r="L40" s="1206" t="s">
        <v>727</v>
      </c>
      <c r="M40" s="542" t="s">
        <v>122</v>
      </c>
      <c r="N40" s="543">
        <f>314.1+14.4</f>
        <v>328.5</v>
      </c>
      <c r="O40" s="544">
        <v>517.20000000000005</v>
      </c>
      <c r="P40" s="675" t="s">
        <v>726</v>
      </c>
      <c r="Q40" s="675" t="s">
        <v>726</v>
      </c>
    </row>
    <row r="41" spans="2:17" ht="23.25" customHeight="1" thickBot="1" x14ac:dyDescent="0.3">
      <c r="B41" s="1204"/>
      <c r="C41" s="1192"/>
      <c r="D41" s="682"/>
      <c r="E41" s="1199"/>
      <c r="F41" s="1201"/>
      <c r="G41" s="1201"/>
      <c r="H41" s="1209"/>
      <c r="I41" s="1204"/>
      <c r="J41" s="1204"/>
      <c r="K41" s="1204"/>
      <c r="L41" s="1204"/>
      <c r="M41" s="636" t="s">
        <v>123</v>
      </c>
      <c r="N41" s="549"/>
      <c r="O41" s="551">
        <v>0</v>
      </c>
      <c r="P41" s="552">
        <v>0</v>
      </c>
      <c r="Q41" s="552">
        <v>0</v>
      </c>
    </row>
    <row r="42" spans="2:17" ht="22.5" customHeight="1" thickBot="1" x14ac:dyDescent="0.3">
      <c r="B42" s="1204"/>
      <c r="C42" s="1192"/>
      <c r="D42" s="682"/>
      <c r="E42" s="1199"/>
      <c r="F42" s="1201"/>
      <c r="G42" s="1201"/>
      <c r="H42" s="1209"/>
      <c r="I42" s="1204"/>
      <c r="J42" s="1204"/>
      <c r="K42" s="1204"/>
      <c r="L42" s="1204"/>
      <c r="M42" s="672" t="s">
        <v>124</v>
      </c>
      <c r="N42" s="556"/>
      <c r="O42" s="557">
        <v>517.20000000000005</v>
      </c>
      <c r="P42" s="676" t="s">
        <v>726</v>
      </c>
      <c r="Q42" s="676" t="s">
        <v>726</v>
      </c>
    </row>
    <row r="43" spans="2:17" ht="25.5" customHeight="1" thickBot="1" x14ac:dyDescent="0.3">
      <c r="B43" s="1205"/>
      <c r="C43" s="1216"/>
      <c r="D43" s="674"/>
      <c r="E43" s="1208"/>
      <c r="F43" s="1202"/>
      <c r="G43" s="1202"/>
      <c r="H43" s="1210"/>
      <c r="I43" s="1205"/>
      <c r="J43" s="1205"/>
      <c r="K43" s="1205"/>
      <c r="L43" s="1205"/>
      <c r="M43" s="547" t="s">
        <v>745</v>
      </c>
      <c r="N43" s="559"/>
      <c r="O43" s="557">
        <v>0</v>
      </c>
      <c r="P43" s="676">
        <v>0</v>
      </c>
      <c r="Q43" s="676">
        <v>0</v>
      </c>
    </row>
    <row r="44" spans="2:17" ht="19.5" customHeight="1" thickBot="1" x14ac:dyDescent="0.3">
      <c r="B44" s="1206" t="s">
        <v>63</v>
      </c>
      <c r="C44" s="1215">
        <v>40404</v>
      </c>
      <c r="D44" s="654">
        <v>27300364</v>
      </c>
      <c r="E44" s="1207" t="s">
        <v>192</v>
      </c>
      <c r="F44" s="1200" t="s">
        <v>396</v>
      </c>
      <c r="G44" s="1200" t="s">
        <v>397</v>
      </c>
      <c r="H44" s="1232" t="s">
        <v>393</v>
      </c>
      <c r="I44" s="1206" t="s">
        <v>398</v>
      </c>
      <c r="J44" s="1206" t="s">
        <v>462</v>
      </c>
      <c r="K44" s="1206" t="s">
        <v>398</v>
      </c>
      <c r="L44" s="1206" t="s">
        <v>398</v>
      </c>
      <c r="M44" s="542" t="s">
        <v>122</v>
      </c>
      <c r="N44" s="543" t="s">
        <v>268</v>
      </c>
      <c r="O44" s="544" t="s">
        <v>268</v>
      </c>
      <c r="P44" s="675" t="s">
        <v>268</v>
      </c>
      <c r="Q44" s="675" t="s">
        <v>268</v>
      </c>
    </row>
    <row r="45" spans="2:17" ht="19.5" customHeight="1" thickBot="1" x14ac:dyDescent="0.3">
      <c r="B45" s="1204"/>
      <c r="C45" s="1192"/>
      <c r="D45" s="555"/>
      <c r="E45" s="1199"/>
      <c r="F45" s="1201"/>
      <c r="G45" s="1201"/>
      <c r="H45" s="1209"/>
      <c r="I45" s="1204"/>
      <c r="J45" s="1204"/>
      <c r="K45" s="1204"/>
      <c r="L45" s="1204"/>
      <c r="M45" s="636" t="s">
        <v>123</v>
      </c>
      <c r="N45" s="549"/>
      <c r="O45" s="551">
        <v>0</v>
      </c>
      <c r="P45" s="552">
        <v>0</v>
      </c>
      <c r="Q45" s="552">
        <v>0</v>
      </c>
    </row>
    <row r="46" spans="2:17" ht="20.25" customHeight="1" thickBot="1" x14ac:dyDescent="0.3">
      <c r="B46" s="1204"/>
      <c r="C46" s="1192"/>
      <c r="D46" s="555"/>
      <c r="E46" s="1199"/>
      <c r="F46" s="1201"/>
      <c r="G46" s="1201"/>
      <c r="H46" s="1209"/>
      <c r="I46" s="1204"/>
      <c r="J46" s="1204"/>
      <c r="K46" s="1204"/>
      <c r="L46" s="1204"/>
      <c r="M46" s="672" t="s">
        <v>124</v>
      </c>
      <c r="N46" s="556"/>
      <c r="O46" s="557" t="s">
        <v>268</v>
      </c>
      <c r="P46" s="676" t="s">
        <v>268</v>
      </c>
      <c r="Q46" s="676" t="s">
        <v>268</v>
      </c>
    </row>
    <row r="47" spans="2:17" ht="19.5" customHeight="1" thickBot="1" x14ac:dyDescent="0.3">
      <c r="B47" s="1205"/>
      <c r="C47" s="1216"/>
      <c r="D47" s="558"/>
      <c r="E47" s="1208"/>
      <c r="F47" s="1202"/>
      <c r="G47" s="1202"/>
      <c r="H47" s="1210"/>
      <c r="I47" s="1205"/>
      <c r="J47" s="1205"/>
      <c r="K47" s="1205"/>
      <c r="L47" s="1205"/>
      <c r="M47" s="547" t="s">
        <v>745</v>
      </c>
      <c r="N47" s="559"/>
      <c r="O47" s="557">
        <v>0</v>
      </c>
      <c r="P47" s="676">
        <v>0</v>
      </c>
      <c r="Q47" s="676">
        <v>0</v>
      </c>
    </row>
    <row r="48" spans="2:17" ht="22.5" customHeight="1" thickBot="1" x14ac:dyDescent="0.3">
      <c r="B48" s="1206" t="s">
        <v>63</v>
      </c>
      <c r="C48" s="1215">
        <v>40404</v>
      </c>
      <c r="D48" s="654">
        <v>27300364</v>
      </c>
      <c r="E48" s="1207" t="s">
        <v>192</v>
      </c>
      <c r="F48" s="1200" t="s">
        <v>260</v>
      </c>
      <c r="G48" s="1200" t="s">
        <v>230</v>
      </c>
      <c r="H48" s="1232" t="s">
        <v>240</v>
      </c>
      <c r="I48" s="1206" t="s">
        <v>263</v>
      </c>
      <c r="J48" s="1206" t="s">
        <v>784</v>
      </c>
      <c r="K48" s="1206" t="s">
        <v>263</v>
      </c>
      <c r="L48" s="1206" t="s">
        <v>263</v>
      </c>
      <c r="M48" s="542" t="s">
        <v>122</v>
      </c>
      <c r="N48" s="543" t="s">
        <v>269</v>
      </c>
      <c r="O48" s="544" t="s">
        <v>269</v>
      </c>
      <c r="P48" s="675" t="s">
        <v>269</v>
      </c>
      <c r="Q48" s="675" t="s">
        <v>269</v>
      </c>
    </row>
    <row r="49" spans="2:17" ht="21" customHeight="1" thickBot="1" x14ac:dyDescent="0.3">
      <c r="B49" s="1204"/>
      <c r="C49" s="1192"/>
      <c r="D49" s="555"/>
      <c r="E49" s="1199"/>
      <c r="F49" s="1201"/>
      <c r="G49" s="1201"/>
      <c r="H49" s="1209"/>
      <c r="I49" s="1204"/>
      <c r="J49" s="1204"/>
      <c r="K49" s="1204"/>
      <c r="L49" s="1204"/>
      <c r="M49" s="636" t="s">
        <v>123</v>
      </c>
      <c r="N49" s="549"/>
      <c r="O49" s="551">
        <v>0</v>
      </c>
      <c r="P49" s="552">
        <v>0</v>
      </c>
      <c r="Q49" s="552">
        <v>0</v>
      </c>
    </row>
    <row r="50" spans="2:17" ht="24" customHeight="1" thickBot="1" x14ac:dyDescent="0.3">
      <c r="B50" s="1204"/>
      <c r="C50" s="1192"/>
      <c r="D50" s="555"/>
      <c r="E50" s="1199"/>
      <c r="F50" s="1201"/>
      <c r="G50" s="1201"/>
      <c r="H50" s="1209"/>
      <c r="I50" s="1204"/>
      <c r="J50" s="1204"/>
      <c r="K50" s="1204"/>
      <c r="L50" s="1204"/>
      <c r="M50" s="672" t="s">
        <v>124</v>
      </c>
      <c r="N50" s="556"/>
      <c r="O50" s="557" t="s">
        <v>269</v>
      </c>
      <c r="P50" s="676" t="s">
        <v>269</v>
      </c>
      <c r="Q50" s="676" t="s">
        <v>269</v>
      </c>
    </row>
    <row r="51" spans="2:17" ht="25.5" customHeight="1" thickBot="1" x14ac:dyDescent="0.3">
      <c r="B51" s="1205"/>
      <c r="C51" s="1216"/>
      <c r="D51" s="558"/>
      <c r="E51" s="1208"/>
      <c r="F51" s="1202"/>
      <c r="G51" s="1202"/>
      <c r="H51" s="1210"/>
      <c r="I51" s="1205"/>
      <c r="J51" s="1205"/>
      <c r="K51" s="1205"/>
      <c r="L51" s="1205"/>
      <c r="M51" s="547" t="s">
        <v>745</v>
      </c>
      <c r="N51" s="559"/>
      <c r="O51" s="557">
        <v>0</v>
      </c>
      <c r="P51" s="676">
        <v>0</v>
      </c>
      <c r="Q51" s="676">
        <v>0</v>
      </c>
    </row>
    <row r="52" spans="2:17" ht="41.25" hidden="1" customHeight="1" thickBot="1" x14ac:dyDescent="0.3">
      <c r="B52" s="1204" t="s">
        <v>63</v>
      </c>
      <c r="C52" s="1192">
        <v>40404</v>
      </c>
      <c r="D52" s="682">
        <v>27300364</v>
      </c>
      <c r="E52" s="1199" t="s">
        <v>192</v>
      </c>
      <c r="F52" s="1267" t="s">
        <v>899</v>
      </c>
      <c r="G52" s="1201" t="s">
        <v>230</v>
      </c>
      <c r="H52" s="1209" t="s">
        <v>240</v>
      </c>
      <c r="I52" s="1204" t="s">
        <v>263</v>
      </c>
      <c r="J52" s="1204" t="s">
        <v>784</v>
      </c>
      <c r="K52" s="1204" t="s">
        <v>263</v>
      </c>
      <c r="L52" s="1204" t="s">
        <v>263</v>
      </c>
      <c r="M52" s="672" t="s">
        <v>122</v>
      </c>
      <c r="N52" s="550" t="s">
        <v>270</v>
      </c>
      <c r="O52" s="561">
        <v>0</v>
      </c>
      <c r="P52" s="562">
        <v>0</v>
      </c>
      <c r="Q52" s="562">
        <v>0</v>
      </c>
    </row>
    <row r="53" spans="2:17" ht="23.25" hidden="1" customHeight="1" thickBot="1" x14ac:dyDescent="0.3">
      <c r="B53" s="1204"/>
      <c r="C53" s="1192"/>
      <c r="D53" s="555"/>
      <c r="E53" s="1199"/>
      <c r="F53" s="1267"/>
      <c r="G53" s="1201"/>
      <c r="H53" s="1209"/>
      <c r="I53" s="1204"/>
      <c r="J53" s="1204"/>
      <c r="K53" s="1204"/>
      <c r="L53" s="1204"/>
      <c r="M53" s="636" t="s">
        <v>123</v>
      </c>
      <c r="N53" s="549"/>
      <c r="O53" s="551">
        <v>0</v>
      </c>
      <c r="P53" s="552">
        <v>0</v>
      </c>
      <c r="Q53" s="552">
        <v>0</v>
      </c>
    </row>
    <row r="54" spans="2:17" ht="29.25" hidden="1" customHeight="1" thickBot="1" x14ac:dyDescent="0.3">
      <c r="B54" s="1204"/>
      <c r="C54" s="1192"/>
      <c r="D54" s="555"/>
      <c r="E54" s="1199"/>
      <c r="F54" s="1267"/>
      <c r="G54" s="1201"/>
      <c r="H54" s="1209"/>
      <c r="I54" s="1204"/>
      <c r="J54" s="1204"/>
      <c r="K54" s="1204"/>
      <c r="L54" s="1204"/>
      <c r="M54" s="672" t="s">
        <v>124</v>
      </c>
      <c r="N54" s="556"/>
      <c r="O54" s="557">
        <v>0</v>
      </c>
      <c r="P54" s="676">
        <v>0</v>
      </c>
      <c r="Q54" s="676">
        <v>0</v>
      </c>
    </row>
    <row r="55" spans="2:17" ht="21" hidden="1" customHeight="1" thickBot="1" x14ac:dyDescent="0.3">
      <c r="B55" s="1204"/>
      <c r="C55" s="1192"/>
      <c r="D55" s="680"/>
      <c r="E55" s="1199"/>
      <c r="F55" s="1267"/>
      <c r="G55" s="1201"/>
      <c r="H55" s="1209"/>
      <c r="I55" s="1204"/>
      <c r="J55" s="1204"/>
      <c r="K55" s="1204"/>
      <c r="L55" s="1204"/>
      <c r="M55" s="671" t="s">
        <v>745</v>
      </c>
      <c r="N55" s="560"/>
      <c r="O55" s="561">
        <v>0</v>
      </c>
      <c r="P55" s="562">
        <v>0</v>
      </c>
      <c r="Q55" s="562">
        <v>0</v>
      </c>
    </row>
    <row r="56" spans="2:17" ht="22.5" hidden="1" customHeight="1" thickBot="1" x14ac:dyDescent="0.3">
      <c r="B56" s="1206" t="s">
        <v>63</v>
      </c>
      <c r="C56" s="1215">
        <v>40404</v>
      </c>
      <c r="D56" s="654">
        <v>27300364</v>
      </c>
      <c r="E56" s="1207" t="s">
        <v>192</v>
      </c>
      <c r="F56" s="1268" t="s">
        <v>900</v>
      </c>
      <c r="G56" s="1200" t="s">
        <v>230</v>
      </c>
      <c r="H56" s="1232" t="s">
        <v>240</v>
      </c>
      <c r="I56" s="1206" t="s">
        <v>263</v>
      </c>
      <c r="J56" s="1206" t="s">
        <v>784</v>
      </c>
      <c r="K56" s="1206" t="s">
        <v>263</v>
      </c>
      <c r="L56" s="1206" t="s">
        <v>263</v>
      </c>
      <c r="M56" s="542" t="s">
        <v>122</v>
      </c>
      <c r="N56" s="543" t="s">
        <v>271</v>
      </c>
      <c r="O56" s="544">
        <v>0</v>
      </c>
      <c r="P56" s="675">
        <v>0</v>
      </c>
      <c r="Q56" s="675">
        <v>0</v>
      </c>
    </row>
    <row r="57" spans="2:17" ht="30" hidden="1" customHeight="1" thickBot="1" x14ac:dyDescent="0.3">
      <c r="B57" s="1204"/>
      <c r="C57" s="1192"/>
      <c r="D57" s="555"/>
      <c r="E57" s="1199"/>
      <c r="F57" s="1267"/>
      <c r="G57" s="1201"/>
      <c r="H57" s="1209"/>
      <c r="I57" s="1204"/>
      <c r="J57" s="1204"/>
      <c r="K57" s="1204"/>
      <c r="L57" s="1204"/>
      <c r="M57" s="636" t="s">
        <v>123</v>
      </c>
      <c r="N57" s="549"/>
      <c r="O57" s="551">
        <v>0</v>
      </c>
      <c r="P57" s="552">
        <v>0</v>
      </c>
      <c r="Q57" s="552">
        <v>0</v>
      </c>
    </row>
    <row r="58" spans="2:17" ht="22.5" hidden="1" customHeight="1" thickBot="1" x14ac:dyDescent="0.3">
      <c r="B58" s="1204"/>
      <c r="C58" s="1192"/>
      <c r="D58" s="555"/>
      <c r="E58" s="1199"/>
      <c r="F58" s="1267"/>
      <c r="G58" s="1201"/>
      <c r="H58" s="1209"/>
      <c r="I58" s="1204"/>
      <c r="J58" s="1204"/>
      <c r="K58" s="1204"/>
      <c r="L58" s="1204"/>
      <c r="M58" s="672" t="s">
        <v>124</v>
      </c>
      <c r="N58" s="556"/>
      <c r="O58" s="557">
        <v>0</v>
      </c>
      <c r="P58" s="676">
        <v>0</v>
      </c>
      <c r="Q58" s="676">
        <v>0</v>
      </c>
    </row>
    <row r="59" spans="2:17" ht="23.25" hidden="1" customHeight="1" thickBot="1" x14ac:dyDescent="0.3">
      <c r="B59" s="1205"/>
      <c r="C59" s="1216"/>
      <c r="D59" s="558"/>
      <c r="E59" s="1208"/>
      <c r="F59" s="1256"/>
      <c r="G59" s="1202"/>
      <c r="H59" s="1210"/>
      <c r="I59" s="1205"/>
      <c r="J59" s="1205"/>
      <c r="K59" s="1205"/>
      <c r="L59" s="1205"/>
      <c r="M59" s="547" t="s">
        <v>745</v>
      </c>
      <c r="N59" s="559"/>
      <c r="O59" s="557">
        <v>0</v>
      </c>
      <c r="P59" s="676">
        <v>0</v>
      </c>
      <c r="Q59" s="676">
        <v>0</v>
      </c>
    </row>
    <row r="60" spans="2:17" ht="46.5" customHeight="1" thickBot="1" x14ac:dyDescent="0.3">
      <c r="B60" s="1204" t="s">
        <v>63</v>
      </c>
      <c r="C60" s="1192">
        <v>40404</v>
      </c>
      <c r="D60" s="682">
        <v>27300364</v>
      </c>
      <c r="E60" s="1199" t="s">
        <v>192</v>
      </c>
      <c r="F60" s="1267" t="s">
        <v>686</v>
      </c>
      <c r="G60" s="1201" t="s">
        <v>230</v>
      </c>
      <c r="H60" s="1209" t="s">
        <v>240</v>
      </c>
      <c r="I60" s="1204" t="s">
        <v>263</v>
      </c>
      <c r="J60" s="1204" t="s">
        <v>785</v>
      </c>
      <c r="K60" s="1204" t="s">
        <v>263</v>
      </c>
      <c r="L60" s="1204" t="s">
        <v>263</v>
      </c>
      <c r="M60" s="672" t="s">
        <v>122</v>
      </c>
      <c r="N60" s="550" t="s">
        <v>272</v>
      </c>
      <c r="O60" s="561" t="s">
        <v>272</v>
      </c>
      <c r="P60" s="562" t="s">
        <v>272</v>
      </c>
      <c r="Q60" s="562" t="s">
        <v>272</v>
      </c>
    </row>
    <row r="61" spans="2:17" ht="16.5" thickBot="1" x14ac:dyDescent="0.3">
      <c r="B61" s="1204"/>
      <c r="C61" s="1192"/>
      <c r="D61" s="555"/>
      <c r="E61" s="1199"/>
      <c r="F61" s="1267"/>
      <c r="G61" s="1201"/>
      <c r="H61" s="1209"/>
      <c r="I61" s="1204"/>
      <c r="J61" s="1204"/>
      <c r="K61" s="1204"/>
      <c r="L61" s="1204"/>
      <c r="M61" s="636" t="s">
        <v>123</v>
      </c>
      <c r="N61" s="549"/>
      <c r="O61" s="551">
        <v>0</v>
      </c>
      <c r="P61" s="552">
        <v>0</v>
      </c>
      <c r="Q61" s="552">
        <v>0</v>
      </c>
    </row>
    <row r="62" spans="2:17" ht="16.5" thickBot="1" x14ac:dyDescent="0.3">
      <c r="B62" s="1204"/>
      <c r="C62" s="1192"/>
      <c r="D62" s="555"/>
      <c r="E62" s="1199"/>
      <c r="F62" s="1267"/>
      <c r="G62" s="1201"/>
      <c r="H62" s="1209"/>
      <c r="I62" s="1204"/>
      <c r="J62" s="1204"/>
      <c r="K62" s="1204"/>
      <c r="L62" s="1204"/>
      <c r="M62" s="672" t="s">
        <v>124</v>
      </c>
      <c r="N62" s="556"/>
      <c r="O62" s="557" t="s">
        <v>272</v>
      </c>
      <c r="P62" s="676" t="s">
        <v>272</v>
      </c>
      <c r="Q62" s="676" t="s">
        <v>272</v>
      </c>
    </row>
    <row r="63" spans="2:17" ht="22.5" customHeight="1" thickBot="1" x14ac:dyDescent="0.3">
      <c r="B63" s="1204"/>
      <c r="C63" s="1192"/>
      <c r="D63" s="680"/>
      <c r="E63" s="1199"/>
      <c r="F63" s="1267"/>
      <c r="G63" s="1201"/>
      <c r="H63" s="1209"/>
      <c r="I63" s="1204"/>
      <c r="J63" s="1204"/>
      <c r="K63" s="1204"/>
      <c r="L63" s="1204"/>
      <c r="M63" s="671" t="s">
        <v>745</v>
      </c>
      <c r="N63" s="560"/>
      <c r="O63" s="561">
        <v>0</v>
      </c>
      <c r="P63" s="562">
        <v>0</v>
      </c>
      <c r="Q63" s="562">
        <v>0</v>
      </c>
    </row>
    <row r="64" spans="2:17" ht="48" customHeight="1" thickBot="1" x14ac:dyDescent="0.3">
      <c r="B64" s="1206" t="s">
        <v>63</v>
      </c>
      <c r="C64" s="1215" t="s">
        <v>510</v>
      </c>
      <c r="D64" s="654" t="s">
        <v>116</v>
      </c>
      <c r="E64" s="1207" t="s">
        <v>116</v>
      </c>
      <c r="F64" s="1200" t="s">
        <v>236</v>
      </c>
      <c r="G64" s="1200" t="s">
        <v>230</v>
      </c>
      <c r="H64" s="1232" t="s">
        <v>240</v>
      </c>
      <c r="I64" s="1264">
        <f>I68+I72+I76+I80+I84</f>
        <v>5</v>
      </c>
      <c r="J64" s="1206" t="s">
        <v>462</v>
      </c>
      <c r="K64" s="1206" t="s">
        <v>786</v>
      </c>
      <c r="L64" s="1206" t="s">
        <v>786</v>
      </c>
      <c r="M64" s="542" t="s">
        <v>122</v>
      </c>
      <c r="N64" s="543">
        <f>N68+N72+N76+N80+N84</f>
        <v>1955</v>
      </c>
      <c r="O64" s="544">
        <f>O65+O66</f>
        <v>2554</v>
      </c>
      <c r="P64" s="544">
        <f>P65+P66</f>
        <v>2554</v>
      </c>
      <c r="Q64" s="552">
        <f>Q65+Q66</f>
        <v>2554</v>
      </c>
    </row>
    <row r="65" spans="2:17" ht="33.75" customHeight="1" thickBot="1" x14ac:dyDescent="0.3">
      <c r="B65" s="1204"/>
      <c r="C65" s="1192"/>
      <c r="D65" s="555"/>
      <c r="E65" s="1199"/>
      <c r="F65" s="1201"/>
      <c r="G65" s="1201"/>
      <c r="H65" s="1209"/>
      <c r="I65" s="1265"/>
      <c r="J65" s="1204"/>
      <c r="K65" s="1204"/>
      <c r="L65" s="1204"/>
      <c r="M65" s="636" t="s">
        <v>123</v>
      </c>
      <c r="N65" s="549"/>
      <c r="O65" s="551">
        <v>0</v>
      </c>
      <c r="P65" s="552">
        <v>0</v>
      </c>
      <c r="Q65" s="552">
        <v>0</v>
      </c>
    </row>
    <row r="66" spans="2:17" ht="35.25" customHeight="1" thickBot="1" x14ac:dyDescent="0.3">
      <c r="B66" s="1204"/>
      <c r="C66" s="1192"/>
      <c r="D66" s="555"/>
      <c r="E66" s="1199"/>
      <c r="F66" s="1201"/>
      <c r="G66" s="1201"/>
      <c r="H66" s="1209"/>
      <c r="I66" s="1265"/>
      <c r="J66" s="1204"/>
      <c r="K66" s="1204"/>
      <c r="L66" s="1204"/>
      <c r="M66" s="672" t="s">
        <v>124</v>
      </c>
      <c r="N66" s="556"/>
      <c r="O66" s="557">
        <f>O70+O74+O78+O82+O86+O90+O94+O98</f>
        <v>2554</v>
      </c>
      <c r="P66" s="557">
        <f>P70+P74+P78+P82+P86+P90+P94+P98</f>
        <v>2554</v>
      </c>
      <c r="Q66" s="557">
        <f>Q70+Q74+Q78+Q82+Q86+Q90+Q94+Q98</f>
        <v>2554</v>
      </c>
    </row>
    <row r="67" spans="2:17" ht="30.75" customHeight="1" thickBot="1" x14ac:dyDescent="0.3">
      <c r="B67" s="1205"/>
      <c r="C67" s="1216"/>
      <c r="D67" s="558"/>
      <c r="E67" s="1208"/>
      <c r="F67" s="1202"/>
      <c r="G67" s="1202"/>
      <c r="H67" s="1210"/>
      <c r="I67" s="1266"/>
      <c r="J67" s="1205"/>
      <c r="K67" s="1205"/>
      <c r="L67" s="1205"/>
      <c r="M67" s="671" t="s">
        <v>745</v>
      </c>
      <c r="N67" s="560"/>
      <c r="O67" s="561">
        <v>0</v>
      </c>
      <c r="P67" s="562">
        <v>0</v>
      </c>
      <c r="Q67" s="562">
        <v>0</v>
      </c>
    </row>
    <row r="68" spans="2:17" ht="21.75" customHeight="1" thickBot="1" x14ac:dyDescent="0.3">
      <c r="B68" s="1206" t="s">
        <v>63</v>
      </c>
      <c r="C68" s="1215" t="s">
        <v>510</v>
      </c>
      <c r="D68" s="682">
        <v>27300364</v>
      </c>
      <c r="E68" s="1207" t="s">
        <v>749</v>
      </c>
      <c r="F68" s="1200" t="s">
        <v>719</v>
      </c>
      <c r="G68" s="1200" t="s">
        <v>230</v>
      </c>
      <c r="H68" s="1232" t="s">
        <v>240</v>
      </c>
      <c r="I68" s="1261" t="s">
        <v>263</v>
      </c>
      <c r="J68" s="1206" t="s">
        <v>462</v>
      </c>
      <c r="K68" s="1206" t="s">
        <v>263</v>
      </c>
      <c r="L68" s="1206" t="s">
        <v>263</v>
      </c>
      <c r="M68" s="542" t="s">
        <v>122</v>
      </c>
      <c r="N68" s="543" t="s">
        <v>275</v>
      </c>
      <c r="O68" s="544" t="s">
        <v>275</v>
      </c>
      <c r="P68" s="675" t="s">
        <v>275</v>
      </c>
      <c r="Q68" s="675" t="s">
        <v>275</v>
      </c>
    </row>
    <row r="69" spans="2:17" ht="21.75" customHeight="1" thickBot="1" x14ac:dyDescent="0.3">
      <c r="B69" s="1204"/>
      <c r="C69" s="1192"/>
      <c r="D69" s="682"/>
      <c r="E69" s="1199"/>
      <c r="F69" s="1201"/>
      <c r="G69" s="1201"/>
      <c r="H69" s="1209"/>
      <c r="I69" s="1262"/>
      <c r="J69" s="1204"/>
      <c r="K69" s="1204"/>
      <c r="L69" s="1204"/>
      <c r="M69" s="636" t="s">
        <v>123</v>
      </c>
      <c r="N69" s="549"/>
      <c r="O69" s="551">
        <v>0</v>
      </c>
      <c r="P69" s="552">
        <v>0</v>
      </c>
      <c r="Q69" s="552">
        <v>0</v>
      </c>
    </row>
    <row r="70" spans="2:17" ht="20.25" customHeight="1" thickBot="1" x14ac:dyDescent="0.3">
      <c r="B70" s="1204"/>
      <c r="C70" s="1192"/>
      <c r="D70" s="682"/>
      <c r="E70" s="1199"/>
      <c r="F70" s="1201"/>
      <c r="G70" s="1201"/>
      <c r="H70" s="1209"/>
      <c r="I70" s="1262"/>
      <c r="J70" s="1204"/>
      <c r="K70" s="1204"/>
      <c r="L70" s="1204"/>
      <c r="M70" s="636" t="s">
        <v>124</v>
      </c>
      <c r="N70" s="549"/>
      <c r="O70" s="551" t="s">
        <v>275</v>
      </c>
      <c r="P70" s="552" t="s">
        <v>275</v>
      </c>
      <c r="Q70" s="552" t="s">
        <v>275</v>
      </c>
    </row>
    <row r="71" spans="2:17" ht="21.75" customHeight="1" thickBot="1" x14ac:dyDescent="0.3">
      <c r="B71" s="1204"/>
      <c r="C71" s="1192"/>
      <c r="D71" s="673"/>
      <c r="E71" s="1199"/>
      <c r="F71" s="1201"/>
      <c r="G71" s="1201"/>
      <c r="H71" s="1209"/>
      <c r="I71" s="1262"/>
      <c r="J71" s="1204"/>
      <c r="K71" s="1204"/>
      <c r="L71" s="1204"/>
      <c r="M71" s="669" t="s">
        <v>745</v>
      </c>
      <c r="N71" s="550"/>
      <c r="O71" s="561">
        <v>0</v>
      </c>
      <c r="P71" s="562">
        <v>0</v>
      </c>
      <c r="Q71" s="562">
        <v>0</v>
      </c>
    </row>
    <row r="72" spans="2:17" ht="25.5" customHeight="1" thickBot="1" x14ac:dyDescent="0.3">
      <c r="B72" s="1206" t="s">
        <v>63</v>
      </c>
      <c r="C72" s="1215" t="s">
        <v>510</v>
      </c>
      <c r="D72" s="654">
        <v>27300364</v>
      </c>
      <c r="E72" s="1207" t="s">
        <v>749</v>
      </c>
      <c r="F72" s="1200" t="s">
        <v>274</v>
      </c>
      <c r="G72" s="1200" t="s">
        <v>230</v>
      </c>
      <c r="H72" s="1232" t="s">
        <v>240</v>
      </c>
      <c r="I72" s="1261" t="s">
        <v>263</v>
      </c>
      <c r="J72" s="1206" t="s">
        <v>462</v>
      </c>
      <c r="K72" s="1206" t="s">
        <v>263</v>
      </c>
      <c r="L72" s="1206" t="s">
        <v>263</v>
      </c>
      <c r="M72" s="542" t="s">
        <v>122</v>
      </c>
      <c r="N72" s="543" t="s">
        <v>276</v>
      </c>
      <c r="O72" s="544" t="s">
        <v>276</v>
      </c>
      <c r="P72" s="675" t="s">
        <v>276</v>
      </c>
      <c r="Q72" s="675" t="s">
        <v>276</v>
      </c>
    </row>
    <row r="73" spans="2:17" ht="43.5" customHeight="1" thickBot="1" x14ac:dyDescent="0.3">
      <c r="B73" s="1204"/>
      <c r="C73" s="1192"/>
      <c r="D73" s="555"/>
      <c r="E73" s="1199"/>
      <c r="F73" s="1201"/>
      <c r="G73" s="1201"/>
      <c r="H73" s="1209"/>
      <c r="I73" s="1262"/>
      <c r="J73" s="1204"/>
      <c r="K73" s="1204"/>
      <c r="L73" s="1204"/>
      <c r="M73" s="636" t="s">
        <v>123</v>
      </c>
      <c r="N73" s="549"/>
      <c r="O73" s="551">
        <v>0</v>
      </c>
      <c r="P73" s="552">
        <v>0</v>
      </c>
      <c r="Q73" s="552">
        <v>0</v>
      </c>
    </row>
    <row r="74" spans="2:17" ht="25.5" customHeight="1" thickBot="1" x14ac:dyDescent="0.3">
      <c r="B74" s="1204"/>
      <c r="C74" s="1192"/>
      <c r="D74" s="555"/>
      <c r="E74" s="1199"/>
      <c r="F74" s="1201"/>
      <c r="G74" s="1201"/>
      <c r="H74" s="1209"/>
      <c r="I74" s="1262"/>
      <c r="J74" s="1204"/>
      <c r="K74" s="1204"/>
      <c r="L74" s="1204"/>
      <c r="M74" s="636" t="s">
        <v>124</v>
      </c>
      <c r="N74" s="549"/>
      <c r="O74" s="551" t="s">
        <v>276</v>
      </c>
      <c r="P74" s="552" t="s">
        <v>276</v>
      </c>
      <c r="Q74" s="552" t="s">
        <v>276</v>
      </c>
    </row>
    <row r="75" spans="2:17" ht="16.5" thickBot="1" x14ac:dyDescent="0.3">
      <c r="B75" s="1205"/>
      <c r="C75" s="1216"/>
      <c r="D75" s="558"/>
      <c r="E75" s="1208"/>
      <c r="F75" s="1202"/>
      <c r="G75" s="1202"/>
      <c r="H75" s="1210"/>
      <c r="I75" s="1263"/>
      <c r="J75" s="1205"/>
      <c r="K75" s="1205"/>
      <c r="L75" s="1205"/>
      <c r="M75" s="670" t="s">
        <v>745</v>
      </c>
      <c r="N75" s="563"/>
      <c r="O75" s="557">
        <v>0</v>
      </c>
      <c r="P75" s="676">
        <v>0</v>
      </c>
      <c r="Q75" s="676">
        <v>0</v>
      </c>
    </row>
    <row r="76" spans="2:17" ht="24" customHeight="1" thickBot="1" x14ac:dyDescent="0.3">
      <c r="B76" s="1204" t="s">
        <v>63</v>
      </c>
      <c r="C76" s="1192" t="s">
        <v>510</v>
      </c>
      <c r="D76" s="682">
        <v>27300364</v>
      </c>
      <c r="E76" s="1199" t="s">
        <v>422</v>
      </c>
      <c r="F76" s="1201" t="s">
        <v>898</v>
      </c>
      <c r="G76" s="1201" t="s">
        <v>230</v>
      </c>
      <c r="H76" s="1209" t="s">
        <v>240</v>
      </c>
      <c r="I76" s="1262" t="s">
        <v>263</v>
      </c>
      <c r="J76" s="1204" t="s">
        <v>462</v>
      </c>
      <c r="K76" s="1204" t="s">
        <v>263</v>
      </c>
      <c r="L76" s="1204" t="s">
        <v>263</v>
      </c>
      <c r="M76" s="672" t="s">
        <v>122</v>
      </c>
      <c r="N76" s="550" t="s">
        <v>619</v>
      </c>
      <c r="O76" s="561" t="s">
        <v>619</v>
      </c>
      <c r="P76" s="562" t="s">
        <v>619</v>
      </c>
      <c r="Q76" s="562" t="s">
        <v>619</v>
      </c>
    </row>
    <row r="77" spans="2:17" ht="27.75" customHeight="1" thickBot="1" x14ac:dyDescent="0.3">
      <c r="B77" s="1204"/>
      <c r="C77" s="1192"/>
      <c r="D77" s="555"/>
      <c r="E77" s="1199"/>
      <c r="F77" s="1201"/>
      <c r="G77" s="1201"/>
      <c r="H77" s="1209"/>
      <c r="I77" s="1262"/>
      <c r="J77" s="1204"/>
      <c r="K77" s="1204"/>
      <c r="L77" s="1204"/>
      <c r="M77" s="636" t="s">
        <v>123</v>
      </c>
      <c r="N77" s="549"/>
      <c r="O77" s="551">
        <v>0</v>
      </c>
      <c r="P77" s="552">
        <v>0</v>
      </c>
      <c r="Q77" s="552">
        <v>0</v>
      </c>
    </row>
    <row r="78" spans="2:17" ht="27" customHeight="1" thickBot="1" x14ac:dyDescent="0.3">
      <c r="B78" s="1204"/>
      <c r="C78" s="1192"/>
      <c r="D78" s="555"/>
      <c r="E78" s="1199"/>
      <c r="F78" s="1201"/>
      <c r="G78" s="1201"/>
      <c r="H78" s="1209"/>
      <c r="I78" s="1262"/>
      <c r="J78" s="1204"/>
      <c r="K78" s="1204"/>
      <c r="L78" s="1204"/>
      <c r="M78" s="672" t="s">
        <v>124</v>
      </c>
      <c r="N78" s="556"/>
      <c r="O78" s="551" t="s">
        <v>619</v>
      </c>
      <c r="P78" s="552" t="s">
        <v>619</v>
      </c>
      <c r="Q78" s="552" t="s">
        <v>619</v>
      </c>
    </row>
    <row r="79" spans="2:17" ht="21" customHeight="1" thickBot="1" x14ac:dyDescent="0.3">
      <c r="B79" s="1204"/>
      <c r="C79" s="1192"/>
      <c r="D79" s="680"/>
      <c r="E79" s="1199"/>
      <c r="F79" s="1201"/>
      <c r="G79" s="1201"/>
      <c r="H79" s="1209"/>
      <c r="I79" s="1262"/>
      <c r="J79" s="1204"/>
      <c r="K79" s="1204"/>
      <c r="L79" s="1204"/>
      <c r="M79" s="671" t="s">
        <v>745</v>
      </c>
      <c r="N79" s="560"/>
      <c r="O79" s="561">
        <v>0</v>
      </c>
      <c r="P79" s="562">
        <v>0</v>
      </c>
      <c r="Q79" s="562">
        <v>0</v>
      </c>
    </row>
    <row r="80" spans="2:17" ht="18.75" customHeight="1" thickBot="1" x14ac:dyDescent="0.3">
      <c r="B80" s="1206" t="s">
        <v>63</v>
      </c>
      <c r="C80" s="1215" t="s">
        <v>510</v>
      </c>
      <c r="D80" s="654">
        <v>27300364</v>
      </c>
      <c r="E80" s="1207" t="s">
        <v>426</v>
      </c>
      <c r="F80" s="1200" t="s">
        <v>561</v>
      </c>
      <c r="G80" s="1200" t="s">
        <v>230</v>
      </c>
      <c r="H80" s="1232" t="s">
        <v>240</v>
      </c>
      <c r="I80" s="1261" t="s">
        <v>263</v>
      </c>
      <c r="J80" s="1206" t="s">
        <v>753</v>
      </c>
      <c r="K80" s="1206" t="s">
        <v>263</v>
      </c>
      <c r="L80" s="1206" t="s">
        <v>263</v>
      </c>
      <c r="M80" s="542" t="s">
        <v>122</v>
      </c>
      <c r="N80" s="543" t="s">
        <v>618</v>
      </c>
      <c r="O80" s="544" t="s">
        <v>618</v>
      </c>
      <c r="P80" s="675" t="s">
        <v>618</v>
      </c>
      <c r="Q80" s="675" t="s">
        <v>618</v>
      </c>
    </row>
    <row r="81" spans="2:18" ht="18.75" customHeight="1" thickBot="1" x14ac:dyDescent="0.3">
      <c r="B81" s="1204"/>
      <c r="C81" s="1192"/>
      <c r="D81" s="555"/>
      <c r="E81" s="1199"/>
      <c r="F81" s="1201"/>
      <c r="G81" s="1201"/>
      <c r="H81" s="1209"/>
      <c r="I81" s="1262"/>
      <c r="J81" s="1204"/>
      <c r="K81" s="1204"/>
      <c r="L81" s="1204"/>
      <c r="M81" s="636" t="s">
        <v>123</v>
      </c>
      <c r="N81" s="549"/>
      <c r="O81" s="551">
        <v>0</v>
      </c>
      <c r="P81" s="552">
        <v>0</v>
      </c>
      <c r="Q81" s="552">
        <v>0</v>
      </c>
    </row>
    <row r="82" spans="2:18" ht="30" customHeight="1" thickBot="1" x14ac:dyDescent="0.3">
      <c r="B82" s="1204"/>
      <c r="C82" s="1192"/>
      <c r="D82" s="555"/>
      <c r="E82" s="1199"/>
      <c r="F82" s="1201"/>
      <c r="G82" s="1201"/>
      <c r="H82" s="1209"/>
      <c r="I82" s="1262"/>
      <c r="J82" s="1204"/>
      <c r="K82" s="1204"/>
      <c r="L82" s="1204"/>
      <c r="M82" s="672" t="s">
        <v>124</v>
      </c>
      <c r="N82" s="556"/>
      <c r="O82" s="551" t="s">
        <v>618</v>
      </c>
      <c r="P82" s="552" t="s">
        <v>618</v>
      </c>
      <c r="Q82" s="552" t="s">
        <v>618</v>
      </c>
    </row>
    <row r="83" spans="2:18" ht="39" customHeight="1" thickBot="1" x14ac:dyDescent="0.3">
      <c r="B83" s="1205"/>
      <c r="C83" s="1216"/>
      <c r="D83" s="558"/>
      <c r="E83" s="1208"/>
      <c r="F83" s="1202"/>
      <c r="G83" s="1202"/>
      <c r="H83" s="1210"/>
      <c r="I83" s="1263"/>
      <c r="J83" s="1205"/>
      <c r="K83" s="1205"/>
      <c r="L83" s="1205"/>
      <c r="M83" s="547" t="s">
        <v>745</v>
      </c>
      <c r="N83" s="559"/>
      <c r="O83" s="557">
        <v>0</v>
      </c>
      <c r="P83" s="676">
        <v>0</v>
      </c>
      <c r="Q83" s="676">
        <v>0</v>
      </c>
    </row>
    <row r="84" spans="2:18" ht="39.75" customHeight="1" thickBot="1" x14ac:dyDescent="0.3">
      <c r="B84" s="1206" t="s">
        <v>63</v>
      </c>
      <c r="C84" s="1215" t="s">
        <v>510</v>
      </c>
      <c r="D84" s="654">
        <v>27300364</v>
      </c>
      <c r="E84" s="1207" t="s">
        <v>200</v>
      </c>
      <c r="F84" s="1200" t="s">
        <v>875</v>
      </c>
      <c r="G84" s="1200" t="s">
        <v>230</v>
      </c>
      <c r="H84" s="1232" t="s">
        <v>240</v>
      </c>
      <c r="I84" s="1261" t="s">
        <v>263</v>
      </c>
      <c r="J84" s="1206" t="s">
        <v>890</v>
      </c>
      <c r="K84" s="1206" t="s">
        <v>263</v>
      </c>
      <c r="L84" s="1206" t="s">
        <v>263</v>
      </c>
      <c r="M84" s="542" t="s">
        <v>122</v>
      </c>
      <c r="N84" s="543" t="s">
        <v>277</v>
      </c>
      <c r="O84" s="544">
        <f>O85+O86+O87</f>
        <v>972</v>
      </c>
      <c r="P84" s="544">
        <f>P85+P86+P87</f>
        <v>972</v>
      </c>
      <c r="Q84" s="675">
        <f>Q85+Q86+Q87</f>
        <v>972</v>
      </c>
    </row>
    <row r="85" spans="2:18" ht="48.75" customHeight="1" thickBot="1" x14ac:dyDescent="0.3">
      <c r="B85" s="1204"/>
      <c r="C85" s="1192"/>
      <c r="D85" s="555"/>
      <c r="E85" s="1199"/>
      <c r="F85" s="1201"/>
      <c r="G85" s="1201"/>
      <c r="H85" s="1209"/>
      <c r="I85" s="1262"/>
      <c r="J85" s="1204"/>
      <c r="K85" s="1204"/>
      <c r="L85" s="1204"/>
      <c r="M85" s="636" t="s">
        <v>123</v>
      </c>
      <c r="N85" s="549"/>
      <c r="O85" s="551">
        <v>0</v>
      </c>
      <c r="P85" s="552">
        <v>0</v>
      </c>
      <c r="Q85" s="552">
        <v>0</v>
      </c>
      <c r="R85" s="37" t="s">
        <v>876</v>
      </c>
    </row>
    <row r="86" spans="2:18" ht="37.5" customHeight="1" thickBot="1" x14ac:dyDescent="0.3">
      <c r="B86" s="1204"/>
      <c r="C86" s="1192"/>
      <c r="D86" s="555"/>
      <c r="E86" s="1199"/>
      <c r="F86" s="1201"/>
      <c r="G86" s="1201"/>
      <c r="H86" s="1209"/>
      <c r="I86" s="1262"/>
      <c r="J86" s="1204"/>
      <c r="K86" s="1204"/>
      <c r="L86" s="1204"/>
      <c r="M86" s="672" t="s">
        <v>124</v>
      </c>
      <c r="N86" s="556"/>
      <c r="O86" s="551" t="s">
        <v>277</v>
      </c>
      <c r="P86" s="552" t="s">
        <v>277</v>
      </c>
      <c r="Q86" s="552" t="s">
        <v>277</v>
      </c>
    </row>
    <row r="87" spans="2:18" ht="32.25" customHeight="1" thickBot="1" x14ac:dyDescent="0.3">
      <c r="B87" s="1204"/>
      <c r="C87" s="1192"/>
      <c r="D87" s="680"/>
      <c r="E87" s="1199"/>
      <c r="F87" s="1201"/>
      <c r="G87" s="1201"/>
      <c r="H87" s="1209"/>
      <c r="I87" s="1262"/>
      <c r="J87" s="1204"/>
      <c r="K87" s="1204"/>
      <c r="L87" s="1204"/>
      <c r="M87" s="671" t="s">
        <v>745</v>
      </c>
      <c r="N87" s="560"/>
      <c r="O87" s="561">
        <v>0</v>
      </c>
      <c r="P87" s="562">
        <v>0</v>
      </c>
      <c r="Q87" s="562">
        <v>0</v>
      </c>
    </row>
    <row r="88" spans="2:18" ht="20.25" customHeight="1" thickBot="1" x14ac:dyDescent="0.3">
      <c r="B88" s="1206" t="s">
        <v>63</v>
      </c>
      <c r="C88" s="1215" t="s">
        <v>510</v>
      </c>
      <c r="D88" s="654">
        <v>27300364</v>
      </c>
      <c r="E88" s="1207" t="s">
        <v>383</v>
      </c>
      <c r="F88" s="1200" t="s">
        <v>802</v>
      </c>
      <c r="G88" s="1200" t="s">
        <v>230</v>
      </c>
      <c r="H88" s="1232" t="s">
        <v>240</v>
      </c>
      <c r="I88" s="1261" t="s">
        <v>263</v>
      </c>
      <c r="J88" s="1206" t="s">
        <v>803</v>
      </c>
      <c r="K88" s="1206" t="s">
        <v>263</v>
      </c>
      <c r="L88" s="1206" t="s">
        <v>263</v>
      </c>
      <c r="M88" s="542" t="s">
        <v>122</v>
      </c>
      <c r="N88" s="543" t="s">
        <v>277</v>
      </c>
      <c r="O88" s="544">
        <f>O89+O90</f>
        <v>63</v>
      </c>
      <c r="P88" s="544">
        <f>P89+P90</f>
        <v>63</v>
      </c>
      <c r="Q88" s="552">
        <f>Q89+Q90</f>
        <v>63</v>
      </c>
    </row>
    <row r="89" spans="2:18" ht="36" customHeight="1" thickBot="1" x14ac:dyDescent="0.3">
      <c r="B89" s="1204"/>
      <c r="C89" s="1192"/>
      <c r="D89" s="555"/>
      <c r="E89" s="1199"/>
      <c r="F89" s="1201"/>
      <c r="G89" s="1201"/>
      <c r="H89" s="1209"/>
      <c r="I89" s="1262"/>
      <c r="J89" s="1204"/>
      <c r="K89" s="1204"/>
      <c r="L89" s="1204"/>
      <c r="M89" s="636" t="s">
        <v>123</v>
      </c>
      <c r="N89" s="549"/>
      <c r="O89" s="551">
        <v>0</v>
      </c>
      <c r="P89" s="552">
        <v>0</v>
      </c>
      <c r="Q89" s="552">
        <v>0</v>
      </c>
    </row>
    <row r="90" spans="2:18" ht="20.25" customHeight="1" thickBot="1" x14ac:dyDescent="0.3">
      <c r="B90" s="1204"/>
      <c r="C90" s="1192"/>
      <c r="D90" s="555"/>
      <c r="E90" s="1199"/>
      <c r="F90" s="1201"/>
      <c r="G90" s="1201"/>
      <c r="H90" s="1209"/>
      <c r="I90" s="1262"/>
      <c r="J90" s="1204"/>
      <c r="K90" s="1204"/>
      <c r="L90" s="1204"/>
      <c r="M90" s="672" t="s">
        <v>124</v>
      </c>
      <c r="N90" s="556"/>
      <c r="O90" s="551">
        <v>63</v>
      </c>
      <c r="P90" s="552">
        <v>63</v>
      </c>
      <c r="Q90" s="552">
        <v>63</v>
      </c>
    </row>
    <row r="91" spans="2:18" ht="20.25" customHeight="1" thickBot="1" x14ac:dyDescent="0.3">
      <c r="B91" s="1205"/>
      <c r="C91" s="1216"/>
      <c r="D91" s="558"/>
      <c r="E91" s="1208"/>
      <c r="F91" s="1202"/>
      <c r="G91" s="1202"/>
      <c r="H91" s="1210"/>
      <c r="I91" s="1263"/>
      <c r="J91" s="1205"/>
      <c r="K91" s="1205"/>
      <c r="L91" s="1205"/>
      <c r="M91" s="547" t="s">
        <v>745</v>
      </c>
      <c r="N91" s="559"/>
      <c r="O91" s="557">
        <v>0</v>
      </c>
      <c r="P91" s="676">
        <v>0</v>
      </c>
      <c r="Q91" s="676">
        <v>0</v>
      </c>
    </row>
    <row r="92" spans="2:18" ht="42.75" customHeight="1" thickBot="1" x14ac:dyDescent="0.3">
      <c r="B92" s="1206" t="s">
        <v>63</v>
      </c>
      <c r="C92" s="1215" t="s">
        <v>510</v>
      </c>
      <c r="D92" s="654">
        <v>27300365</v>
      </c>
      <c r="E92" s="1207" t="s">
        <v>463</v>
      </c>
      <c r="F92" s="1267" t="s">
        <v>899</v>
      </c>
      <c r="G92" s="1201" t="s">
        <v>230</v>
      </c>
      <c r="H92" s="1209" t="s">
        <v>240</v>
      </c>
      <c r="I92" s="1204" t="s">
        <v>263</v>
      </c>
      <c r="J92" s="1204" t="s">
        <v>784</v>
      </c>
      <c r="K92" s="1204" t="s">
        <v>263</v>
      </c>
      <c r="L92" s="1204" t="s">
        <v>263</v>
      </c>
      <c r="M92" s="672" t="s">
        <v>122</v>
      </c>
      <c r="N92" s="550" t="s">
        <v>270</v>
      </c>
      <c r="O92" s="561" t="s">
        <v>270</v>
      </c>
      <c r="P92" s="562" t="s">
        <v>270</v>
      </c>
      <c r="Q92" s="562" t="s">
        <v>270</v>
      </c>
    </row>
    <row r="93" spans="2:18" ht="32.25" customHeight="1" thickBot="1" x14ac:dyDescent="0.3">
      <c r="B93" s="1204"/>
      <c r="C93" s="1192"/>
      <c r="D93" s="555"/>
      <c r="E93" s="1199"/>
      <c r="F93" s="1267"/>
      <c r="G93" s="1201"/>
      <c r="H93" s="1209"/>
      <c r="I93" s="1204"/>
      <c r="J93" s="1204"/>
      <c r="K93" s="1204"/>
      <c r="L93" s="1204"/>
      <c r="M93" s="636" t="s">
        <v>123</v>
      </c>
      <c r="N93" s="549"/>
      <c r="O93" s="551">
        <v>0</v>
      </c>
      <c r="P93" s="552">
        <v>0</v>
      </c>
      <c r="Q93" s="552">
        <v>0</v>
      </c>
    </row>
    <row r="94" spans="2:18" ht="20.25" customHeight="1" thickBot="1" x14ac:dyDescent="0.3">
      <c r="B94" s="1204"/>
      <c r="C94" s="1192"/>
      <c r="D94" s="555"/>
      <c r="E94" s="1199"/>
      <c r="F94" s="1267"/>
      <c r="G94" s="1201"/>
      <c r="H94" s="1209"/>
      <c r="I94" s="1204"/>
      <c r="J94" s="1204"/>
      <c r="K94" s="1204"/>
      <c r="L94" s="1204"/>
      <c r="M94" s="672" t="s">
        <v>124</v>
      </c>
      <c r="N94" s="556"/>
      <c r="O94" s="557" t="s">
        <v>270</v>
      </c>
      <c r="P94" s="676" t="s">
        <v>270</v>
      </c>
      <c r="Q94" s="676" t="s">
        <v>270</v>
      </c>
    </row>
    <row r="95" spans="2:18" ht="20.25" customHeight="1" thickBot="1" x14ac:dyDescent="0.3">
      <c r="B95" s="1205"/>
      <c r="C95" s="1216"/>
      <c r="D95" s="558"/>
      <c r="E95" s="1208"/>
      <c r="F95" s="1267"/>
      <c r="G95" s="1201"/>
      <c r="H95" s="1209"/>
      <c r="I95" s="1204"/>
      <c r="J95" s="1204"/>
      <c r="K95" s="1204"/>
      <c r="L95" s="1204"/>
      <c r="M95" s="671" t="s">
        <v>745</v>
      </c>
      <c r="N95" s="560"/>
      <c r="O95" s="561">
        <v>0</v>
      </c>
      <c r="P95" s="562">
        <v>0</v>
      </c>
      <c r="Q95" s="562">
        <v>0</v>
      </c>
    </row>
    <row r="96" spans="2:18" ht="27.75" customHeight="1" thickBot="1" x14ac:dyDescent="0.3">
      <c r="B96" s="1206" t="s">
        <v>63</v>
      </c>
      <c r="C96" s="1215" t="s">
        <v>510</v>
      </c>
      <c r="D96" s="654">
        <v>27300366</v>
      </c>
      <c r="E96" s="1207" t="s">
        <v>463</v>
      </c>
      <c r="F96" s="1268" t="s">
        <v>900</v>
      </c>
      <c r="G96" s="1200" t="s">
        <v>230</v>
      </c>
      <c r="H96" s="1232" t="s">
        <v>240</v>
      </c>
      <c r="I96" s="1206" t="s">
        <v>263</v>
      </c>
      <c r="J96" s="1206" t="s">
        <v>784</v>
      </c>
      <c r="K96" s="1206" t="s">
        <v>263</v>
      </c>
      <c r="L96" s="1206" t="s">
        <v>263</v>
      </c>
      <c r="M96" s="542" t="s">
        <v>122</v>
      </c>
      <c r="N96" s="543" t="s">
        <v>271</v>
      </c>
      <c r="O96" s="544" t="s">
        <v>271</v>
      </c>
      <c r="P96" s="675" t="s">
        <v>271</v>
      </c>
      <c r="Q96" s="675" t="s">
        <v>271</v>
      </c>
    </row>
    <row r="97" spans="2:18" ht="24.75" customHeight="1" thickBot="1" x14ac:dyDescent="0.3">
      <c r="B97" s="1204"/>
      <c r="C97" s="1192"/>
      <c r="D97" s="555"/>
      <c r="E97" s="1199"/>
      <c r="F97" s="1267"/>
      <c r="G97" s="1201"/>
      <c r="H97" s="1209"/>
      <c r="I97" s="1204"/>
      <c r="J97" s="1204"/>
      <c r="K97" s="1204"/>
      <c r="L97" s="1204"/>
      <c r="M97" s="636" t="s">
        <v>123</v>
      </c>
      <c r="N97" s="549"/>
      <c r="O97" s="551">
        <v>0</v>
      </c>
      <c r="P97" s="552">
        <v>0</v>
      </c>
      <c r="Q97" s="552">
        <v>0</v>
      </c>
    </row>
    <row r="98" spans="2:18" ht="28.5" customHeight="1" thickBot="1" x14ac:dyDescent="0.3">
      <c r="B98" s="1204"/>
      <c r="C98" s="1192"/>
      <c r="D98" s="555"/>
      <c r="E98" s="1199"/>
      <c r="F98" s="1267"/>
      <c r="G98" s="1201"/>
      <c r="H98" s="1209"/>
      <c r="I98" s="1204"/>
      <c r="J98" s="1204"/>
      <c r="K98" s="1204"/>
      <c r="L98" s="1204"/>
      <c r="M98" s="672" t="s">
        <v>124</v>
      </c>
      <c r="N98" s="556"/>
      <c r="O98" s="557" t="s">
        <v>271</v>
      </c>
      <c r="P98" s="676" t="s">
        <v>271</v>
      </c>
      <c r="Q98" s="676" t="s">
        <v>271</v>
      </c>
    </row>
    <row r="99" spans="2:18" ht="20.25" customHeight="1" thickBot="1" x14ac:dyDescent="0.3">
      <c r="B99" s="1205"/>
      <c r="C99" s="1216"/>
      <c r="D99" s="558"/>
      <c r="E99" s="1208"/>
      <c r="F99" s="1256"/>
      <c r="G99" s="1202"/>
      <c r="H99" s="1210"/>
      <c r="I99" s="1205"/>
      <c r="J99" s="1205"/>
      <c r="K99" s="1205"/>
      <c r="L99" s="1205"/>
      <c r="M99" s="547" t="s">
        <v>745</v>
      </c>
      <c r="N99" s="559"/>
      <c r="O99" s="557">
        <v>0</v>
      </c>
      <c r="P99" s="676">
        <v>0</v>
      </c>
      <c r="Q99" s="676">
        <v>0</v>
      </c>
    </row>
    <row r="100" spans="2:18" ht="28.5" customHeight="1" thickBot="1" x14ac:dyDescent="0.3">
      <c r="B100" s="1204" t="s">
        <v>63</v>
      </c>
      <c r="C100" s="1259" t="s">
        <v>586</v>
      </c>
      <c r="D100" s="682" t="s">
        <v>116</v>
      </c>
      <c r="E100" s="1199" t="s">
        <v>116</v>
      </c>
      <c r="F100" s="1199" t="s">
        <v>584</v>
      </c>
      <c r="G100" s="1199" t="s">
        <v>116</v>
      </c>
      <c r="H100" s="1209" t="s">
        <v>116</v>
      </c>
      <c r="I100" s="1204" t="s">
        <v>116</v>
      </c>
      <c r="J100" s="1204" t="s">
        <v>116</v>
      </c>
      <c r="K100" s="1204" t="s">
        <v>116</v>
      </c>
      <c r="L100" s="1204" t="s">
        <v>116</v>
      </c>
      <c r="M100" s="672" t="s">
        <v>122</v>
      </c>
      <c r="N100" s="550" t="str">
        <f>N104</f>
        <v>9415,882</v>
      </c>
      <c r="O100" s="561">
        <f>O101+O102</f>
        <v>13228.701999999999</v>
      </c>
      <c r="P100" s="561">
        <f>P101+P102</f>
        <v>13064.59</v>
      </c>
      <c r="Q100" s="552">
        <f>Q101+Q102</f>
        <v>13064.07</v>
      </c>
    </row>
    <row r="101" spans="2:18" ht="24" customHeight="1" thickBot="1" x14ac:dyDescent="0.3">
      <c r="B101" s="1204"/>
      <c r="C101" s="1259"/>
      <c r="D101" s="673"/>
      <c r="E101" s="1199"/>
      <c r="F101" s="1199"/>
      <c r="G101" s="1199"/>
      <c r="H101" s="1209"/>
      <c r="I101" s="1204"/>
      <c r="J101" s="1204"/>
      <c r="K101" s="1204"/>
      <c r="L101" s="1204"/>
      <c r="M101" s="636" t="s">
        <v>123</v>
      </c>
      <c r="N101" s="549"/>
      <c r="O101" s="552">
        <f>O105+O109</f>
        <v>218.74</v>
      </c>
      <c r="P101" s="552">
        <v>0</v>
      </c>
      <c r="Q101" s="552">
        <v>0</v>
      </c>
    </row>
    <row r="102" spans="2:18" ht="24" customHeight="1" thickBot="1" x14ac:dyDescent="0.3">
      <c r="B102" s="1204"/>
      <c r="C102" s="1259"/>
      <c r="D102" s="673"/>
      <c r="E102" s="1199"/>
      <c r="F102" s="1199"/>
      <c r="G102" s="1199"/>
      <c r="H102" s="1209"/>
      <c r="I102" s="1204"/>
      <c r="J102" s="1204"/>
      <c r="K102" s="1204"/>
      <c r="L102" s="1204"/>
      <c r="M102" s="672" t="s">
        <v>124</v>
      </c>
      <c r="N102" s="550"/>
      <c r="O102" s="561">
        <f>O106+O110</f>
        <v>13009.962</v>
      </c>
      <c r="P102" s="561">
        <f>P106</f>
        <v>13064.59</v>
      </c>
      <c r="Q102" s="552">
        <f>Q106</f>
        <v>13064.07</v>
      </c>
    </row>
    <row r="103" spans="2:18" ht="23.25" customHeight="1" thickBot="1" x14ac:dyDescent="0.3">
      <c r="B103" s="1205"/>
      <c r="C103" s="1260"/>
      <c r="D103" s="674"/>
      <c r="E103" s="1208"/>
      <c r="F103" s="1208"/>
      <c r="G103" s="1208"/>
      <c r="H103" s="1210"/>
      <c r="I103" s="1205"/>
      <c r="J103" s="1205"/>
      <c r="K103" s="1205"/>
      <c r="L103" s="1205"/>
      <c r="M103" s="547" t="s">
        <v>745</v>
      </c>
      <c r="N103" s="549"/>
      <c r="O103" s="551">
        <v>0</v>
      </c>
      <c r="P103" s="552">
        <v>0</v>
      </c>
      <c r="Q103" s="552">
        <v>0</v>
      </c>
    </row>
    <row r="104" spans="2:18" ht="53.25" customHeight="1" thickBot="1" x14ac:dyDescent="0.3">
      <c r="B104" s="1206" t="s">
        <v>63</v>
      </c>
      <c r="C104" s="1215" t="s">
        <v>586</v>
      </c>
      <c r="D104" s="1229" t="s">
        <v>285</v>
      </c>
      <c r="E104" s="1207" t="s">
        <v>503</v>
      </c>
      <c r="F104" s="564" t="s">
        <v>286</v>
      </c>
      <c r="G104" s="565" t="s">
        <v>187</v>
      </c>
      <c r="H104" s="566" t="s">
        <v>241</v>
      </c>
      <c r="I104" s="547" t="s">
        <v>574</v>
      </c>
      <c r="J104" s="1206" t="s">
        <v>462</v>
      </c>
      <c r="K104" s="547" t="s">
        <v>574</v>
      </c>
      <c r="L104" s="547" t="s">
        <v>574</v>
      </c>
      <c r="M104" s="542" t="s">
        <v>122</v>
      </c>
      <c r="N104" s="543" t="s">
        <v>687</v>
      </c>
      <c r="O104" s="544">
        <f>O105+O106</f>
        <v>13009.962</v>
      </c>
      <c r="P104" s="544">
        <f>P105+P106</f>
        <v>13064.59</v>
      </c>
      <c r="Q104" s="552">
        <f>Q105+Q106</f>
        <v>13064.07</v>
      </c>
      <c r="R104" s="149"/>
    </row>
    <row r="105" spans="2:18" ht="27" customHeight="1" thickBot="1" x14ac:dyDescent="0.3">
      <c r="B105" s="1204"/>
      <c r="C105" s="1192"/>
      <c r="D105" s="1245"/>
      <c r="E105" s="1199"/>
      <c r="F105" s="1251" t="s">
        <v>287</v>
      </c>
      <c r="G105" s="1253" t="s">
        <v>234</v>
      </c>
      <c r="H105" s="1199" t="s">
        <v>393</v>
      </c>
      <c r="I105" s="1204" t="s">
        <v>270</v>
      </c>
      <c r="J105" s="1204"/>
      <c r="K105" s="1204" t="s">
        <v>270</v>
      </c>
      <c r="L105" s="1204" t="s">
        <v>270</v>
      </c>
      <c r="M105" s="636" t="s">
        <v>123</v>
      </c>
      <c r="N105" s="549"/>
      <c r="O105" s="551">
        <v>0</v>
      </c>
      <c r="P105" s="552">
        <v>0</v>
      </c>
      <c r="Q105" s="552">
        <v>0</v>
      </c>
    </row>
    <row r="106" spans="2:18" ht="27.75" customHeight="1" thickBot="1" x14ac:dyDescent="0.3">
      <c r="B106" s="1204"/>
      <c r="C106" s="1192"/>
      <c r="D106" s="682"/>
      <c r="E106" s="1199"/>
      <c r="F106" s="1251"/>
      <c r="G106" s="1253"/>
      <c r="H106" s="1199"/>
      <c r="I106" s="1204"/>
      <c r="J106" s="1204"/>
      <c r="K106" s="1204"/>
      <c r="L106" s="1204"/>
      <c r="M106" s="672" t="s">
        <v>124</v>
      </c>
      <c r="N106" s="550"/>
      <c r="O106" s="544">
        <v>13009.962</v>
      </c>
      <c r="P106" s="675">
        <v>13064.59</v>
      </c>
      <c r="Q106" s="675">
        <v>13064.07</v>
      </c>
      <c r="R106" s="746"/>
    </row>
    <row r="107" spans="2:18" ht="39" customHeight="1" thickBot="1" x14ac:dyDescent="0.3">
      <c r="B107" s="1241"/>
      <c r="C107" s="1216"/>
      <c r="D107" s="674"/>
      <c r="E107" s="1208"/>
      <c r="F107" s="1252"/>
      <c r="G107" s="1254"/>
      <c r="H107" s="1208"/>
      <c r="I107" s="1205"/>
      <c r="J107" s="1205"/>
      <c r="K107" s="1205"/>
      <c r="L107" s="1205"/>
      <c r="M107" s="547" t="s">
        <v>745</v>
      </c>
      <c r="N107" s="549"/>
      <c r="O107" s="551">
        <v>0</v>
      </c>
      <c r="P107" s="552">
        <v>0</v>
      </c>
      <c r="Q107" s="552">
        <v>0</v>
      </c>
    </row>
    <row r="108" spans="2:18" ht="26.25" customHeight="1" thickBot="1" x14ac:dyDescent="0.3">
      <c r="B108" s="1206" t="s">
        <v>63</v>
      </c>
      <c r="C108" s="1215" t="s">
        <v>586</v>
      </c>
      <c r="D108" s="1229" t="s">
        <v>285</v>
      </c>
      <c r="E108" s="1207" t="s">
        <v>503</v>
      </c>
      <c r="F108" s="1268" t="s">
        <v>901</v>
      </c>
      <c r="G108" s="1200" t="s">
        <v>902</v>
      </c>
      <c r="H108" s="1207" t="s">
        <v>241</v>
      </c>
      <c r="I108" s="1206" t="s">
        <v>664</v>
      </c>
      <c r="J108" s="1206" t="s">
        <v>753</v>
      </c>
      <c r="K108" s="1206" t="s">
        <v>116</v>
      </c>
      <c r="L108" s="1206" t="s">
        <v>116</v>
      </c>
      <c r="M108" s="542" t="s">
        <v>122</v>
      </c>
      <c r="N108" s="543"/>
      <c r="O108" s="551">
        <f>O109+O110</f>
        <v>218.74</v>
      </c>
      <c r="P108" s="552">
        <f>P109+P110</f>
        <v>0</v>
      </c>
      <c r="Q108" s="549">
        <f>Q109+Q110</f>
        <v>0</v>
      </c>
    </row>
    <row r="109" spans="2:18" ht="27" customHeight="1" thickBot="1" x14ac:dyDescent="0.3">
      <c r="B109" s="1204"/>
      <c r="C109" s="1192"/>
      <c r="D109" s="1245"/>
      <c r="E109" s="1199"/>
      <c r="F109" s="1267"/>
      <c r="G109" s="1201"/>
      <c r="H109" s="1199"/>
      <c r="I109" s="1204"/>
      <c r="J109" s="1204"/>
      <c r="K109" s="1204"/>
      <c r="L109" s="1204"/>
      <c r="M109" s="636" t="s">
        <v>123</v>
      </c>
      <c r="N109" s="543"/>
      <c r="O109" s="681">
        <v>218.74</v>
      </c>
      <c r="P109" s="676">
        <v>0</v>
      </c>
      <c r="Q109" s="552">
        <v>0</v>
      </c>
    </row>
    <row r="110" spans="2:18" ht="24" customHeight="1" thickBot="1" x14ac:dyDescent="0.3">
      <c r="B110" s="1204"/>
      <c r="C110" s="1192"/>
      <c r="D110" s="682"/>
      <c r="E110" s="1199"/>
      <c r="F110" s="1267"/>
      <c r="G110" s="1201"/>
      <c r="H110" s="1199"/>
      <c r="I110" s="1204"/>
      <c r="J110" s="1204"/>
      <c r="K110" s="1204"/>
      <c r="L110" s="1204"/>
      <c r="M110" s="672" t="s">
        <v>124</v>
      </c>
      <c r="N110" s="543"/>
      <c r="O110" s="551">
        <v>0</v>
      </c>
      <c r="P110" s="552">
        <v>0</v>
      </c>
      <c r="Q110" s="549">
        <f>Q114+Q118+Q122+Q126</f>
        <v>0</v>
      </c>
    </row>
    <row r="111" spans="2:18" ht="26.25" customHeight="1" thickBot="1" x14ac:dyDescent="0.3">
      <c r="B111" s="1241"/>
      <c r="C111" s="1216"/>
      <c r="D111" s="674"/>
      <c r="E111" s="1208"/>
      <c r="F111" s="1256"/>
      <c r="G111" s="1202"/>
      <c r="H111" s="1208"/>
      <c r="I111" s="1205"/>
      <c r="J111" s="1205"/>
      <c r="K111" s="1205"/>
      <c r="L111" s="1205"/>
      <c r="M111" s="547" t="s">
        <v>745</v>
      </c>
      <c r="N111" s="543"/>
      <c r="O111" s="551">
        <v>0</v>
      </c>
      <c r="P111" s="552">
        <f>P115+P119+P123+P127</f>
        <v>0</v>
      </c>
      <c r="Q111" s="549">
        <f>Q115+Q119+Q123+Q127</f>
        <v>0</v>
      </c>
    </row>
    <row r="112" spans="2:18" ht="23.25" customHeight="1" thickBot="1" x14ac:dyDescent="0.3">
      <c r="B112" s="1240" t="s">
        <v>63</v>
      </c>
      <c r="C112" s="1215" t="s">
        <v>291</v>
      </c>
      <c r="D112" s="654" t="s">
        <v>116</v>
      </c>
      <c r="E112" s="1207" t="s">
        <v>116</v>
      </c>
      <c r="F112" s="1207" t="s">
        <v>77</v>
      </c>
      <c r="G112" s="1200" t="s">
        <v>559</v>
      </c>
      <c r="H112" s="1232" t="s">
        <v>240</v>
      </c>
      <c r="I112" s="1206" t="s">
        <v>560</v>
      </c>
      <c r="J112" s="1206" t="s">
        <v>462</v>
      </c>
      <c r="K112" s="1206" t="s">
        <v>199</v>
      </c>
      <c r="L112" s="1206" t="s">
        <v>199</v>
      </c>
      <c r="M112" s="542" t="s">
        <v>122</v>
      </c>
      <c r="N112" s="567">
        <f>N116+N120</f>
        <v>3508.9989999999998</v>
      </c>
      <c r="O112" s="551">
        <f>O113+O114</f>
        <v>5550</v>
      </c>
      <c r="P112" s="552">
        <f>P113+P114</f>
        <v>4000</v>
      </c>
      <c r="Q112" s="549">
        <f>Q113+Q114</f>
        <v>0</v>
      </c>
    </row>
    <row r="113" spans="2:22" ht="25.5" customHeight="1" thickBot="1" x14ac:dyDescent="0.3">
      <c r="B113" s="1204"/>
      <c r="C113" s="1192"/>
      <c r="D113" s="673"/>
      <c r="E113" s="1199"/>
      <c r="F113" s="1199"/>
      <c r="G113" s="1201"/>
      <c r="H113" s="1209"/>
      <c r="I113" s="1204"/>
      <c r="J113" s="1204"/>
      <c r="K113" s="1204"/>
      <c r="L113" s="1204"/>
      <c r="M113" s="636" t="s">
        <v>123</v>
      </c>
      <c r="N113" s="550"/>
      <c r="O113" s="681">
        <v>0</v>
      </c>
      <c r="P113" s="676">
        <v>0</v>
      </c>
      <c r="Q113" s="552">
        <v>0</v>
      </c>
    </row>
    <row r="114" spans="2:22" ht="22.5" customHeight="1" thickBot="1" x14ac:dyDescent="0.3">
      <c r="B114" s="1204"/>
      <c r="C114" s="1192"/>
      <c r="D114" s="673"/>
      <c r="E114" s="1199"/>
      <c r="F114" s="1199"/>
      <c r="G114" s="1201"/>
      <c r="H114" s="1209"/>
      <c r="I114" s="1204"/>
      <c r="J114" s="1204"/>
      <c r="K114" s="1204"/>
      <c r="L114" s="1204"/>
      <c r="M114" s="672" t="s">
        <v>124</v>
      </c>
      <c r="N114" s="550"/>
      <c r="O114" s="551">
        <f t="shared" ref="O114:Q115" si="3">O118+O122+O126+O130</f>
        <v>5550</v>
      </c>
      <c r="P114" s="552">
        <f t="shared" si="3"/>
        <v>4000</v>
      </c>
      <c r="Q114" s="549">
        <f t="shared" si="3"/>
        <v>0</v>
      </c>
    </row>
    <row r="115" spans="2:22" ht="23.25" customHeight="1" thickBot="1" x14ac:dyDescent="0.3">
      <c r="B115" s="1241"/>
      <c r="C115" s="1216"/>
      <c r="D115" s="674"/>
      <c r="E115" s="1208"/>
      <c r="F115" s="1208"/>
      <c r="G115" s="1202"/>
      <c r="H115" s="1210"/>
      <c r="I115" s="1205"/>
      <c r="J115" s="1205"/>
      <c r="K115" s="1205"/>
      <c r="L115" s="1205"/>
      <c r="M115" s="547" t="s">
        <v>745</v>
      </c>
      <c r="N115" s="563"/>
      <c r="O115" s="551">
        <f>O119+O123+O127+O131</f>
        <v>3284.9989999999998</v>
      </c>
      <c r="P115" s="552">
        <f t="shared" si="3"/>
        <v>0</v>
      </c>
      <c r="Q115" s="549">
        <f t="shared" si="3"/>
        <v>0</v>
      </c>
    </row>
    <row r="116" spans="2:22" ht="26.25" customHeight="1" thickBot="1" x14ac:dyDescent="0.3">
      <c r="B116" s="1240" t="s">
        <v>63</v>
      </c>
      <c r="C116" s="1215" t="s">
        <v>291</v>
      </c>
      <c r="D116" s="673" t="s">
        <v>285</v>
      </c>
      <c r="E116" s="1207" t="s">
        <v>503</v>
      </c>
      <c r="F116" s="1200" t="s">
        <v>787</v>
      </c>
      <c r="G116" s="1200" t="s">
        <v>388</v>
      </c>
      <c r="H116" s="1308" t="s">
        <v>240</v>
      </c>
      <c r="I116" s="1206" t="s">
        <v>263</v>
      </c>
      <c r="J116" s="1206" t="s">
        <v>462</v>
      </c>
      <c r="K116" s="1206" t="s">
        <v>199</v>
      </c>
      <c r="L116" s="1206" t="s">
        <v>199</v>
      </c>
      <c r="M116" s="542" t="s">
        <v>122</v>
      </c>
      <c r="N116" s="550">
        <v>2958.9989999999998</v>
      </c>
      <c r="O116" s="551">
        <f>O118+O119</f>
        <v>3281.9989999999998</v>
      </c>
      <c r="P116" s="552">
        <f>P117+P118</f>
        <v>0</v>
      </c>
      <c r="Q116" s="549">
        <f>Q117+Q118</f>
        <v>0</v>
      </c>
      <c r="R116" s="48"/>
      <c r="S116" s="48"/>
      <c r="T116" s="48"/>
      <c r="U116" s="48"/>
      <c r="V116" s="48"/>
    </row>
    <row r="117" spans="2:22" ht="22.5" customHeight="1" thickBot="1" x14ac:dyDescent="0.3">
      <c r="B117" s="1204"/>
      <c r="C117" s="1192"/>
      <c r="D117" s="673"/>
      <c r="E117" s="1199"/>
      <c r="F117" s="1201"/>
      <c r="G117" s="1201"/>
      <c r="H117" s="1259"/>
      <c r="I117" s="1204"/>
      <c r="J117" s="1204"/>
      <c r="K117" s="1204"/>
      <c r="L117" s="1204"/>
      <c r="M117" s="636" t="s">
        <v>123</v>
      </c>
      <c r="N117" s="550"/>
      <c r="O117" s="681">
        <v>0</v>
      </c>
      <c r="P117" s="676">
        <v>0</v>
      </c>
      <c r="Q117" s="670" t="s">
        <v>695</v>
      </c>
      <c r="R117" s="48"/>
      <c r="S117" s="48"/>
      <c r="T117" s="48"/>
      <c r="U117" s="48"/>
      <c r="V117" s="48"/>
    </row>
    <row r="118" spans="2:22" ht="19.5" customHeight="1" thickBot="1" x14ac:dyDescent="0.3">
      <c r="B118" s="1204"/>
      <c r="C118" s="1192"/>
      <c r="D118" s="673"/>
      <c r="E118" s="1199"/>
      <c r="F118" s="1201"/>
      <c r="G118" s="1201"/>
      <c r="H118" s="1259"/>
      <c r="I118" s="1204"/>
      <c r="J118" s="1204"/>
      <c r="K118" s="1204"/>
      <c r="L118" s="1204"/>
      <c r="M118" s="672" t="s">
        <v>124</v>
      </c>
      <c r="N118" s="550"/>
      <c r="O118" s="681">
        <v>547</v>
      </c>
      <c r="P118" s="676">
        <v>0</v>
      </c>
      <c r="Q118" s="670" t="s">
        <v>695</v>
      </c>
      <c r="R118" s="48"/>
      <c r="S118" s="48"/>
      <c r="T118" s="48"/>
      <c r="U118" s="48"/>
      <c r="V118" s="48"/>
    </row>
    <row r="119" spans="2:22" ht="21" customHeight="1" thickBot="1" x14ac:dyDescent="0.3">
      <c r="B119" s="1205"/>
      <c r="C119" s="1216"/>
      <c r="D119" s="673"/>
      <c r="E119" s="1208"/>
      <c r="F119" s="1202"/>
      <c r="G119" s="1202"/>
      <c r="H119" s="1260"/>
      <c r="I119" s="1205"/>
      <c r="J119" s="1205"/>
      <c r="K119" s="1205"/>
      <c r="L119" s="1205"/>
      <c r="M119" s="547" t="s">
        <v>745</v>
      </c>
      <c r="N119" s="550"/>
      <c r="O119" s="681">
        <f>2734.999</f>
        <v>2734.9989999999998</v>
      </c>
      <c r="P119" s="676">
        <v>0</v>
      </c>
      <c r="Q119" s="670" t="s">
        <v>695</v>
      </c>
      <c r="R119" s="48"/>
      <c r="S119" s="48"/>
      <c r="T119" s="48"/>
      <c r="U119" s="48"/>
      <c r="V119" s="48"/>
    </row>
    <row r="120" spans="2:22" ht="26.25" customHeight="1" thickBot="1" x14ac:dyDescent="0.3">
      <c r="B120" s="1206" t="s">
        <v>63</v>
      </c>
      <c r="C120" s="1215" t="s">
        <v>291</v>
      </c>
      <c r="D120" s="704" t="s">
        <v>285</v>
      </c>
      <c r="E120" s="1207" t="s">
        <v>503</v>
      </c>
      <c r="F120" s="1200" t="s">
        <v>666</v>
      </c>
      <c r="G120" s="1200" t="s">
        <v>667</v>
      </c>
      <c r="H120" s="1232" t="s">
        <v>240</v>
      </c>
      <c r="I120" s="1206" t="s">
        <v>263</v>
      </c>
      <c r="J120" s="1206" t="s">
        <v>462</v>
      </c>
      <c r="K120" s="1206" t="s">
        <v>199</v>
      </c>
      <c r="L120" s="1206" t="s">
        <v>199</v>
      </c>
      <c r="M120" s="542" t="s">
        <v>122</v>
      </c>
      <c r="N120" s="568" t="s">
        <v>665</v>
      </c>
      <c r="O120" s="551">
        <f>O121+O122</f>
        <v>0</v>
      </c>
      <c r="P120" s="552">
        <f>P121+P122</f>
        <v>0</v>
      </c>
      <c r="Q120" s="549">
        <f>Q121+Q122</f>
        <v>0</v>
      </c>
      <c r="R120" s="48"/>
      <c r="S120" s="48"/>
      <c r="T120" s="48"/>
      <c r="U120" s="48"/>
      <c r="V120" s="48"/>
    </row>
    <row r="121" spans="2:22" ht="26.25" customHeight="1" thickBot="1" x14ac:dyDescent="0.3">
      <c r="B121" s="1204"/>
      <c r="C121" s="1192"/>
      <c r="D121" s="673"/>
      <c r="E121" s="1199"/>
      <c r="F121" s="1201"/>
      <c r="G121" s="1201"/>
      <c r="H121" s="1209"/>
      <c r="I121" s="1204"/>
      <c r="J121" s="1204"/>
      <c r="K121" s="1204"/>
      <c r="L121" s="1204"/>
      <c r="M121" s="636" t="s">
        <v>123</v>
      </c>
      <c r="N121" s="569"/>
      <c r="O121" s="681">
        <v>0</v>
      </c>
      <c r="P121" s="676">
        <v>0</v>
      </c>
      <c r="Q121" s="547" t="s">
        <v>695</v>
      </c>
      <c r="R121" s="48"/>
      <c r="S121" s="48"/>
      <c r="T121" s="48"/>
      <c r="U121" s="48"/>
      <c r="V121" s="48"/>
    </row>
    <row r="122" spans="2:22" ht="23.25" customHeight="1" thickBot="1" x14ac:dyDescent="0.3">
      <c r="B122" s="1204"/>
      <c r="C122" s="1192"/>
      <c r="D122" s="673"/>
      <c r="E122" s="1199"/>
      <c r="F122" s="1201"/>
      <c r="G122" s="1201"/>
      <c r="H122" s="1209"/>
      <c r="I122" s="1204"/>
      <c r="J122" s="1204"/>
      <c r="K122" s="1204"/>
      <c r="L122" s="1204"/>
      <c r="M122" s="672" t="s">
        <v>124</v>
      </c>
      <c r="N122" s="569"/>
      <c r="O122" s="681">
        <v>0</v>
      </c>
      <c r="P122" s="676">
        <v>0</v>
      </c>
      <c r="Q122" s="547" t="s">
        <v>695</v>
      </c>
      <c r="R122" s="48"/>
      <c r="S122" s="48"/>
      <c r="T122" s="48"/>
      <c r="U122" s="48"/>
      <c r="V122" s="48"/>
    </row>
    <row r="123" spans="2:22" ht="23.25" customHeight="1" thickBot="1" x14ac:dyDescent="0.3">
      <c r="B123" s="1204"/>
      <c r="C123" s="1192"/>
      <c r="D123" s="673"/>
      <c r="E123" s="1199"/>
      <c r="F123" s="1201"/>
      <c r="G123" s="1201"/>
      <c r="H123" s="1209"/>
      <c r="I123" s="1204"/>
      <c r="J123" s="1204"/>
      <c r="K123" s="1204"/>
      <c r="L123" s="1204"/>
      <c r="M123" s="547" t="s">
        <v>745</v>
      </c>
      <c r="N123" s="569"/>
      <c r="O123" s="681">
        <v>550</v>
      </c>
      <c r="P123" s="676">
        <v>0</v>
      </c>
      <c r="Q123" s="547" t="s">
        <v>695</v>
      </c>
      <c r="R123" s="48"/>
      <c r="S123" s="48"/>
      <c r="T123" s="48"/>
      <c r="U123" s="48"/>
      <c r="V123" s="48"/>
    </row>
    <row r="124" spans="2:22" ht="23.25" customHeight="1" thickBot="1" x14ac:dyDescent="0.3">
      <c r="B124" s="1206" t="s">
        <v>63</v>
      </c>
      <c r="C124" s="1215" t="s">
        <v>291</v>
      </c>
      <c r="D124" s="704" t="s">
        <v>285</v>
      </c>
      <c r="E124" s="1207" t="s">
        <v>892</v>
      </c>
      <c r="F124" s="1200" t="s">
        <v>894</v>
      </c>
      <c r="G124" s="1207" t="s">
        <v>792</v>
      </c>
      <c r="H124" s="1232" t="s">
        <v>240</v>
      </c>
      <c r="I124" s="1206" t="s">
        <v>263</v>
      </c>
      <c r="J124" s="1206" t="s">
        <v>462</v>
      </c>
      <c r="K124" s="1206" t="s">
        <v>199</v>
      </c>
      <c r="L124" s="1206" t="s">
        <v>199</v>
      </c>
      <c r="M124" s="542" t="s">
        <v>122</v>
      </c>
      <c r="N124" s="569"/>
      <c r="O124" s="551">
        <f>O125+O126</f>
        <v>5003</v>
      </c>
      <c r="P124" s="552">
        <f>P125+P126</f>
        <v>0</v>
      </c>
      <c r="Q124" s="549">
        <f>Q125+Q126</f>
        <v>0</v>
      </c>
      <c r="R124" s="48"/>
      <c r="S124" s="48"/>
      <c r="T124" s="48"/>
      <c r="U124" s="48"/>
      <c r="V124" s="48"/>
    </row>
    <row r="125" spans="2:22" ht="23.25" customHeight="1" thickBot="1" x14ac:dyDescent="0.3">
      <c r="B125" s="1204"/>
      <c r="C125" s="1192"/>
      <c r="D125" s="673"/>
      <c r="E125" s="1199"/>
      <c r="F125" s="1201"/>
      <c r="G125" s="1199"/>
      <c r="H125" s="1209"/>
      <c r="I125" s="1204"/>
      <c r="J125" s="1204"/>
      <c r="K125" s="1204"/>
      <c r="L125" s="1204"/>
      <c r="M125" s="636" t="s">
        <v>123</v>
      </c>
      <c r="N125" s="569"/>
      <c r="O125" s="681">
        <v>0</v>
      </c>
      <c r="P125" s="676">
        <v>0</v>
      </c>
      <c r="Q125" s="547" t="s">
        <v>695</v>
      </c>
      <c r="R125" s="48"/>
      <c r="S125" s="48"/>
      <c r="T125" s="48"/>
      <c r="U125" s="48"/>
      <c r="V125" s="48"/>
    </row>
    <row r="126" spans="2:22" ht="23.25" customHeight="1" thickBot="1" x14ac:dyDescent="0.3">
      <c r="B126" s="1204"/>
      <c r="C126" s="1192"/>
      <c r="D126" s="673"/>
      <c r="E126" s="1199"/>
      <c r="F126" s="1201"/>
      <c r="G126" s="1199"/>
      <c r="H126" s="1209"/>
      <c r="I126" s="1204"/>
      <c r="J126" s="1204"/>
      <c r="K126" s="1204"/>
      <c r="L126" s="1204"/>
      <c r="M126" s="672" t="s">
        <v>124</v>
      </c>
      <c r="N126" s="569"/>
      <c r="O126" s="681">
        <f>5550-547</f>
        <v>5003</v>
      </c>
      <c r="P126" s="676">
        <v>0</v>
      </c>
      <c r="Q126" s="547" t="s">
        <v>788</v>
      </c>
      <c r="R126" s="48"/>
      <c r="S126" s="48"/>
      <c r="T126" s="48"/>
      <c r="U126" s="48"/>
      <c r="V126" s="48"/>
    </row>
    <row r="127" spans="2:22" ht="87.75" customHeight="1" thickBot="1" x14ac:dyDescent="0.3">
      <c r="B127" s="1204"/>
      <c r="C127" s="1192"/>
      <c r="D127" s="673"/>
      <c r="E127" s="1199"/>
      <c r="F127" s="1201"/>
      <c r="G127" s="1199"/>
      <c r="H127" s="1209"/>
      <c r="I127" s="1204"/>
      <c r="J127" s="1204"/>
      <c r="K127" s="1204"/>
      <c r="L127" s="1204"/>
      <c r="M127" s="671" t="s">
        <v>745</v>
      </c>
      <c r="N127" s="570"/>
      <c r="O127" s="690">
        <v>0</v>
      </c>
      <c r="P127" s="562">
        <v>0</v>
      </c>
      <c r="Q127" s="671" t="s">
        <v>695</v>
      </c>
      <c r="R127" s="48"/>
      <c r="S127" s="48"/>
      <c r="T127" s="48"/>
      <c r="U127" s="48"/>
      <c r="V127" s="48"/>
    </row>
    <row r="128" spans="2:22" ht="23.25" customHeight="1" thickBot="1" x14ac:dyDescent="0.3">
      <c r="B128" s="1206" t="s">
        <v>63</v>
      </c>
      <c r="C128" s="1215" t="s">
        <v>291</v>
      </c>
      <c r="D128" s="704" t="s">
        <v>285</v>
      </c>
      <c r="E128" s="1207" t="s">
        <v>503</v>
      </c>
      <c r="F128" s="1200" t="s">
        <v>793</v>
      </c>
      <c r="G128" s="1207" t="s">
        <v>794</v>
      </c>
      <c r="H128" s="1232" t="s">
        <v>240</v>
      </c>
      <c r="I128" s="1206" t="s">
        <v>263</v>
      </c>
      <c r="J128" s="1206" t="s">
        <v>528</v>
      </c>
      <c r="K128" s="1206" t="s">
        <v>263</v>
      </c>
      <c r="L128" s="1206" t="s">
        <v>199</v>
      </c>
      <c r="M128" s="542" t="s">
        <v>122</v>
      </c>
      <c r="N128" s="568"/>
      <c r="O128" s="551">
        <f>O129+O130</f>
        <v>0</v>
      </c>
      <c r="P128" s="552">
        <f>P129+P130</f>
        <v>4000</v>
      </c>
      <c r="Q128" s="549">
        <f>Q129+Q130</f>
        <v>0</v>
      </c>
      <c r="R128" s="48"/>
      <c r="S128" s="48"/>
      <c r="T128" s="48"/>
      <c r="U128" s="48"/>
      <c r="V128" s="48"/>
    </row>
    <row r="129" spans="2:22" ht="23.25" customHeight="1" thickBot="1" x14ac:dyDescent="0.3">
      <c r="B129" s="1204"/>
      <c r="C129" s="1192"/>
      <c r="D129" s="673"/>
      <c r="E129" s="1199"/>
      <c r="F129" s="1201"/>
      <c r="G129" s="1199"/>
      <c r="H129" s="1209"/>
      <c r="I129" s="1204"/>
      <c r="J129" s="1204"/>
      <c r="K129" s="1204"/>
      <c r="L129" s="1204"/>
      <c r="M129" s="636" t="s">
        <v>123</v>
      </c>
      <c r="N129" s="569"/>
      <c r="O129" s="681">
        <v>0</v>
      </c>
      <c r="P129" s="676">
        <v>0</v>
      </c>
      <c r="Q129" s="547" t="s">
        <v>695</v>
      </c>
      <c r="R129" s="48"/>
      <c r="S129" s="48"/>
      <c r="T129" s="48"/>
      <c r="U129" s="48"/>
      <c r="V129" s="48"/>
    </row>
    <row r="130" spans="2:22" ht="23.25" customHeight="1" thickBot="1" x14ac:dyDescent="0.3">
      <c r="B130" s="1204"/>
      <c r="C130" s="1192"/>
      <c r="D130" s="673"/>
      <c r="E130" s="1199"/>
      <c r="F130" s="1201"/>
      <c r="G130" s="1199"/>
      <c r="H130" s="1209"/>
      <c r="I130" s="1204"/>
      <c r="J130" s="1204"/>
      <c r="K130" s="1204"/>
      <c r="L130" s="1204"/>
      <c r="M130" s="672" t="s">
        <v>124</v>
      </c>
      <c r="N130" s="569"/>
      <c r="O130" s="681">
        <v>0</v>
      </c>
      <c r="P130" s="676">
        <v>4000</v>
      </c>
      <c r="Q130" s="547" t="s">
        <v>695</v>
      </c>
      <c r="R130" s="48"/>
      <c r="S130" s="48"/>
      <c r="T130" s="48"/>
      <c r="U130" s="48"/>
      <c r="V130" s="48"/>
    </row>
    <row r="131" spans="2:22" ht="23.25" customHeight="1" thickBot="1" x14ac:dyDescent="0.3">
      <c r="B131" s="1205"/>
      <c r="C131" s="1216"/>
      <c r="D131" s="674"/>
      <c r="E131" s="1208"/>
      <c r="F131" s="1202"/>
      <c r="G131" s="1208"/>
      <c r="H131" s="1210"/>
      <c r="I131" s="1205"/>
      <c r="J131" s="1205"/>
      <c r="K131" s="1204"/>
      <c r="L131" s="1205"/>
      <c r="M131" s="547" t="s">
        <v>745</v>
      </c>
      <c r="N131" s="569"/>
      <c r="O131" s="681">
        <v>0</v>
      </c>
      <c r="P131" s="676">
        <v>0</v>
      </c>
      <c r="Q131" s="547" t="s">
        <v>695</v>
      </c>
      <c r="R131" s="48"/>
      <c r="S131" s="48"/>
      <c r="T131" s="48"/>
      <c r="U131" s="48"/>
      <c r="V131" s="48"/>
    </row>
    <row r="132" spans="2:22" ht="24.75" customHeight="1" thickBot="1" x14ac:dyDescent="0.3">
      <c r="B132" s="1206" t="s">
        <v>63</v>
      </c>
      <c r="C132" s="1215" t="s">
        <v>295</v>
      </c>
      <c r="D132" s="694" t="s">
        <v>285</v>
      </c>
      <c r="E132" s="1207" t="s">
        <v>503</v>
      </c>
      <c r="F132" s="1207" t="s">
        <v>280</v>
      </c>
      <c r="G132" s="1207" t="s">
        <v>116</v>
      </c>
      <c r="H132" s="1207" t="s">
        <v>116</v>
      </c>
      <c r="I132" s="1206" t="s">
        <v>116</v>
      </c>
      <c r="J132" s="1206" t="s">
        <v>116</v>
      </c>
      <c r="K132" s="1206" t="s">
        <v>116</v>
      </c>
      <c r="L132" s="1206" t="s">
        <v>116</v>
      </c>
      <c r="M132" s="542" t="s">
        <v>122</v>
      </c>
      <c r="N132" s="568" t="s">
        <v>694</v>
      </c>
      <c r="O132" s="551">
        <f>O133+O134</f>
        <v>0</v>
      </c>
      <c r="P132" s="552">
        <f>P133+P134</f>
        <v>0</v>
      </c>
      <c r="Q132" s="549">
        <f>Q133+Q134</f>
        <v>1424.45</v>
      </c>
      <c r="R132" s="48"/>
      <c r="S132" s="48"/>
      <c r="T132" s="48"/>
      <c r="U132" s="48"/>
      <c r="V132" s="48"/>
    </row>
    <row r="133" spans="2:22" ht="24.75" customHeight="1" thickBot="1" x14ac:dyDescent="0.3">
      <c r="B133" s="1204"/>
      <c r="C133" s="1192"/>
      <c r="D133" s="673"/>
      <c r="E133" s="1199"/>
      <c r="F133" s="1199"/>
      <c r="G133" s="1199"/>
      <c r="H133" s="1199"/>
      <c r="I133" s="1204"/>
      <c r="J133" s="1204"/>
      <c r="K133" s="1204"/>
      <c r="L133" s="1204"/>
      <c r="M133" s="636" t="s">
        <v>123</v>
      </c>
      <c r="N133" s="569"/>
      <c r="O133" s="681">
        <v>0</v>
      </c>
      <c r="P133" s="676">
        <v>0</v>
      </c>
      <c r="Q133" s="547" t="s">
        <v>695</v>
      </c>
      <c r="R133" s="48"/>
      <c r="S133" s="48"/>
      <c r="T133" s="48"/>
      <c r="U133" s="48"/>
      <c r="V133" s="48"/>
    </row>
    <row r="134" spans="2:22" ht="24" customHeight="1" thickBot="1" x14ac:dyDescent="0.3">
      <c r="B134" s="1204"/>
      <c r="C134" s="1192"/>
      <c r="D134" s="673"/>
      <c r="E134" s="1199"/>
      <c r="F134" s="1199"/>
      <c r="G134" s="1199"/>
      <c r="H134" s="1199"/>
      <c r="I134" s="1204"/>
      <c r="J134" s="1204"/>
      <c r="K134" s="1204"/>
      <c r="L134" s="1204"/>
      <c r="M134" s="672" t="s">
        <v>124</v>
      </c>
      <c r="N134" s="569"/>
      <c r="O134" s="681">
        <f t="shared" ref="O134:Q135" si="4">O138+O142</f>
        <v>0</v>
      </c>
      <c r="P134" s="552">
        <f t="shared" si="4"/>
        <v>0</v>
      </c>
      <c r="Q134" s="552">
        <f t="shared" si="4"/>
        <v>1424.45</v>
      </c>
      <c r="R134" s="48"/>
      <c r="S134" s="48"/>
      <c r="T134" s="48"/>
      <c r="U134" s="48"/>
      <c r="V134" s="48"/>
    </row>
    <row r="135" spans="2:22" ht="24.75" customHeight="1" thickBot="1" x14ac:dyDescent="0.3">
      <c r="B135" s="1205"/>
      <c r="C135" s="1216"/>
      <c r="D135" s="674"/>
      <c r="E135" s="1208"/>
      <c r="F135" s="1208"/>
      <c r="G135" s="1208"/>
      <c r="H135" s="1208"/>
      <c r="I135" s="1205"/>
      <c r="J135" s="1205"/>
      <c r="K135" s="1205"/>
      <c r="L135" s="1205"/>
      <c r="M135" s="547" t="s">
        <v>745</v>
      </c>
      <c r="N135" s="569"/>
      <c r="O135" s="681">
        <f t="shared" si="4"/>
        <v>2200</v>
      </c>
      <c r="P135" s="552">
        <f t="shared" si="4"/>
        <v>0</v>
      </c>
      <c r="Q135" s="552">
        <f t="shared" si="4"/>
        <v>0</v>
      </c>
      <c r="R135" s="48"/>
      <c r="S135" s="48"/>
      <c r="T135" s="48"/>
      <c r="U135" s="48"/>
      <c r="V135" s="48"/>
    </row>
    <row r="136" spans="2:22" ht="29.25" customHeight="1" thickBot="1" x14ac:dyDescent="0.3">
      <c r="B136" s="1206" t="s">
        <v>63</v>
      </c>
      <c r="C136" s="1207" t="s">
        <v>295</v>
      </c>
      <c r="D136" s="694" t="s">
        <v>285</v>
      </c>
      <c r="E136" s="1229" t="s">
        <v>503</v>
      </c>
      <c r="F136" s="1200" t="s">
        <v>895</v>
      </c>
      <c r="G136" s="1193" t="s">
        <v>190</v>
      </c>
      <c r="H136" s="1232" t="s">
        <v>240</v>
      </c>
      <c r="I136" s="1206" t="s">
        <v>263</v>
      </c>
      <c r="J136" s="1206" t="s">
        <v>462</v>
      </c>
      <c r="K136" s="1206" t="s">
        <v>199</v>
      </c>
      <c r="L136" s="1206" t="s">
        <v>199</v>
      </c>
      <c r="M136" s="542" t="s">
        <v>122</v>
      </c>
      <c r="N136" s="568" t="s">
        <v>694</v>
      </c>
      <c r="O136" s="551">
        <f>O137+O138</f>
        <v>0</v>
      </c>
      <c r="P136" s="552">
        <f>P137+P138</f>
        <v>0</v>
      </c>
      <c r="Q136" s="549">
        <f>Q137+Q138</f>
        <v>0</v>
      </c>
      <c r="R136" s="48"/>
      <c r="S136" s="48"/>
      <c r="T136" s="48"/>
      <c r="U136" s="48"/>
      <c r="V136" s="48"/>
    </row>
    <row r="137" spans="2:22" ht="30" customHeight="1" thickBot="1" x14ac:dyDescent="0.3">
      <c r="B137" s="1204"/>
      <c r="C137" s="1199"/>
      <c r="D137" s="571"/>
      <c r="E137" s="1230"/>
      <c r="F137" s="1201"/>
      <c r="G137" s="1196"/>
      <c r="H137" s="1209"/>
      <c r="I137" s="1204"/>
      <c r="J137" s="1204"/>
      <c r="K137" s="1204"/>
      <c r="L137" s="1204"/>
      <c r="M137" s="636" t="s">
        <v>123</v>
      </c>
      <c r="N137" s="569"/>
      <c r="O137" s="681">
        <v>0</v>
      </c>
      <c r="P137" s="676">
        <v>0</v>
      </c>
      <c r="Q137" s="562">
        <v>0</v>
      </c>
      <c r="R137" s="48"/>
      <c r="S137" s="48"/>
      <c r="T137" s="48"/>
      <c r="U137" s="48"/>
      <c r="V137" s="48"/>
    </row>
    <row r="138" spans="2:22" ht="33.75" customHeight="1" thickBot="1" x14ac:dyDescent="0.3">
      <c r="B138" s="1204"/>
      <c r="C138" s="1199"/>
      <c r="D138" s="571"/>
      <c r="E138" s="1230"/>
      <c r="F138" s="1201"/>
      <c r="G138" s="1196"/>
      <c r="H138" s="1209"/>
      <c r="I138" s="1204"/>
      <c r="J138" s="1204"/>
      <c r="K138" s="1204"/>
      <c r="L138" s="1204"/>
      <c r="M138" s="672" t="s">
        <v>124</v>
      </c>
      <c r="N138" s="569"/>
      <c r="O138" s="681">
        <v>0</v>
      </c>
      <c r="P138" s="676">
        <v>0</v>
      </c>
      <c r="Q138" s="552">
        <v>0</v>
      </c>
      <c r="R138" s="48"/>
      <c r="S138" s="48"/>
      <c r="T138" s="48"/>
      <c r="U138" s="48"/>
      <c r="V138" s="48"/>
    </row>
    <row r="139" spans="2:22" ht="33" customHeight="1" thickBot="1" x14ac:dyDescent="0.3">
      <c r="B139" s="1204"/>
      <c r="C139" s="1199"/>
      <c r="D139" s="572"/>
      <c r="E139" s="1230"/>
      <c r="F139" s="1201"/>
      <c r="G139" s="1196"/>
      <c r="H139" s="1209"/>
      <c r="I139" s="1204"/>
      <c r="J139" s="1204"/>
      <c r="K139" s="1204"/>
      <c r="L139" s="1204"/>
      <c r="M139" s="671" t="s">
        <v>745</v>
      </c>
      <c r="N139" s="570"/>
      <c r="O139" s="690">
        <v>2200</v>
      </c>
      <c r="P139" s="562">
        <v>0</v>
      </c>
      <c r="Q139" s="562">
        <v>0</v>
      </c>
      <c r="R139" s="48"/>
      <c r="S139" s="48"/>
      <c r="T139" s="48"/>
      <c r="U139" s="48"/>
      <c r="V139" s="48"/>
    </row>
    <row r="140" spans="2:22" ht="21" customHeight="1" thickBot="1" x14ac:dyDescent="0.3">
      <c r="B140" s="1206" t="s">
        <v>63</v>
      </c>
      <c r="C140" s="1207" t="s">
        <v>295</v>
      </c>
      <c r="D140" s="573" t="s">
        <v>285</v>
      </c>
      <c r="E140" s="1273" t="s">
        <v>503</v>
      </c>
      <c r="F140" s="1200" t="s">
        <v>795</v>
      </c>
      <c r="G140" s="1200" t="s">
        <v>796</v>
      </c>
      <c r="H140" s="1232" t="s">
        <v>240</v>
      </c>
      <c r="I140" s="1206" t="s">
        <v>263</v>
      </c>
      <c r="J140" s="1206" t="s">
        <v>789</v>
      </c>
      <c r="K140" s="1206" t="s">
        <v>199</v>
      </c>
      <c r="L140" s="1206" t="s">
        <v>263</v>
      </c>
      <c r="M140" s="542" t="s">
        <v>122</v>
      </c>
      <c r="N140" s="568" t="s">
        <v>694</v>
      </c>
      <c r="O140" s="551">
        <f>O141+O142</f>
        <v>0</v>
      </c>
      <c r="P140" s="552">
        <f>P141+P142</f>
        <v>0</v>
      </c>
      <c r="Q140" s="549">
        <f>Q141+Q142</f>
        <v>1424.45</v>
      </c>
      <c r="R140" s="48"/>
      <c r="S140" s="48"/>
      <c r="T140" s="48"/>
      <c r="U140" s="48"/>
      <c r="V140" s="48"/>
    </row>
    <row r="141" spans="2:22" ht="22.5" customHeight="1" thickBot="1" x14ac:dyDescent="0.3">
      <c r="B141" s="1204"/>
      <c r="C141" s="1199"/>
      <c r="D141" s="571"/>
      <c r="E141" s="1274"/>
      <c r="F141" s="1201"/>
      <c r="G141" s="1201"/>
      <c r="H141" s="1209"/>
      <c r="I141" s="1204"/>
      <c r="J141" s="1204"/>
      <c r="K141" s="1204"/>
      <c r="L141" s="1204"/>
      <c r="M141" s="636" t="s">
        <v>123</v>
      </c>
      <c r="N141" s="569"/>
      <c r="O141" s="681">
        <v>0</v>
      </c>
      <c r="P141" s="676">
        <v>0</v>
      </c>
      <c r="Q141" s="547" t="s">
        <v>695</v>
      </c>
      <c r="R141" s="48"/>
      <c r="S141" s="48"/>
      <c r="T141" s="48"/>
      <c r="U141" s="48"/>
      <c r="V141" s="48"/>
    </row>
    <row r="142" spans="2:22" ht="22.5" customHeight="1" thickBot="1" x14ac:dyDescent="0.3">
      <c r="B142" s="1204"/>
      <c r="C142" s="1199"/>
      <c r="D142" s="571"/>
      <c r="E142" s="1274"/>
      <c r="F142" s="1201"/>
      <c r="G142" s="1201"/>
      <c r="H142" s="1209"/>
      <c r="I142" s="1204"/>
      <c r="J142" s="1204"/>
      <c r="K142" s="1204"/>
      <c r="L142" s="1204"/>
      <c r="M142" s="672" t="s">
        <v>124</v>
      </c>
      <c r="N142" s="569"/>
      <c r="O142" s="681">
        <v>0</v>
      </c>
      <c r="P142" s="676">
        <v>0</v>
      </c>
      <c r="Q142" s="547" t="s">
        <v>790</v>
      </c>
      <c r="R142" s="48"/>
      <c r="S142" s="48"/>
      <c r="T142" s="48"/>
      <c r="U142" s="48"/>
      <c r="V142" s="48"/>
    </row>
    <row r="143" spans="2:22" ht="21" customHeight="1" thickBot="1" x14ac:dyDescent="0.3">
      <c r="B143" s="1205"/>
      <c r="C143" s="1208"/>
      <c r="D143" s="574"/>
      <c r="E143" s="1309"/>
      <c r="F143" s="1202"/>
      <c r="G143" s="1202"/>
      <c r="H143" s="1210"/>
      <c r="I143" s="1205"/>
      <c r="J143" s="1205"/>
      <c r="K143" s="1205"/>
      <c r="L143" s="1205"/>
      <c r="M143" s="671" t="s">
        <v>745</v>
      </c>
      <c r="N143" s="570"/>
      <c r="O143" s="690">
        <v>0</v>
      </c>
      <c r="P143" s="562">
        <v>0</v>
      </c>
      <c r="Q143" s="671" t="s">
        <v>695</v>
      </c>
      <c r="R143" s="48"/>
      <c r="S143" s="48"/>
      <c r="T143" s="48"/>
      <c r="U143" s="48"/>
      <c r="V143" s="48"/>
    </row>
    <row r="144" spans="2:22" ht="50.25" customHeight="1" thickBot="1" x14ac:dyDescent="0.3">
      <c r="B144" s="1340" t="s">
        <v>64</v>
      </c>
      <c r="C144" s="1341" t="s">
        <v>116</v>
      </c>
      <c r="D144" s="1342" t="s">
        <v>116</v>
      </c>
      <c r="E144" s="1343" t="s">
        <v>116</v>
      </c>
      <c r="F144" s="1342" t="s">
        <v>175</v>
      </c>
      <c r="G144" s="761" t="s">
        <v>381</v>
      </c>
      <c r="H144" s="762" t="s">
        <v>244</v>
      </c>
      <c r="I144" s="763">
        <f>I154+I159+I161+I163+I165+I167+I169+I171+I173+I175+I177+I180+I182+I184+I188</f>
        <v>930397</v>
      </c>
      <c r="J144" s="1340" t="s">
        <v>462</v>
      </c>
      <c r="K144" s="763">
        <f>K154+K159+K161+K163+K165+K167+K169+K171+K173+K175+K177+K180+K182+K184+K188</f>
        <v>930397</v>
      </c>
      <c r="L144" s="763">
        <f>L154+L159+L161+L163+L165+L167+L169+L171+L173+L175+L177+L180+L182+L184+L188</f>
        <v>930397</v>
      </c>
      <c r="M144" s="764" t="s">
        <v>122</v>
      </c>
      <c r="N144" s="1331" t="e">
        <f>N150+N200+N332</f>
        <v>#REF!</v>
      </c>
      <c r="O144" s="765">
        <f>O150+O200+O332</f>
        <v>219077.859</v>
      </c>
      <c r="P144" s="765">
        <f>P150+P200+P332</f>
        <v>283213.69900000002</v>
      </c>
      <c r="Q144" s="766">
        <f>Q150+Q200+Q332</f>
        <v>207938.60799999998</v>
      </c>
      <c r="R144" s="48">
        <v>219077.86</v>
      </c>
      <c r="S144" s="48">
        <v>283213.69</v>
      </c>
      <c r="T144" s="48">
        <v>207938.61</v>
      </c>
      <c r="U144" s="48"/>
      <c r="V144" s="48"/>
    </row>
    <row r="145" spans="2:22" ht="35.25" customHeight="1" thickBot="1" x14ac:dyDescent="0.3">
      <c r="B145" s="1340"/>
      <c r="C145" s="1341"/>
      <c r="D145" s="1342"/>
      <c r="E145" s="1343"/>
      <c r="F145" s="1342"/>
      <c r="G145" s="767" t="s">
        <v>187</v>
      </c>
      <c r="H145" s="768" t="s">
        <v>241</v>
      </c>
      <c r="I145" s="769">
        <f>I179</f>
        <v>3</v>
      </c>
      <c r="J145" s="1340"/>
      <c r="K145" s="769">
        <f>K179</f>
        <v>0</v>
      </c>
      <c r="L145" s="769">
        <f>L179</f>
        <v>0</v>
      </c>
      <c r="M145" s="770" t="s">
        <v>123</v>
      </c>
      <c r="N145" s="1332"/>
      <c r="O145" s="765">
        <f t="shared" ref="O145:Q147" si="5">O151+O201+O333</f>
        <v>48295.34</v>
      </c>
      <c r="P145" s="765">
        <f t="shared" si="5"/>
        <v>0</v>
      </c>
      <c r="Q145" s="766">
        <f t="shared" si="5"/>
        <v>0</v>
      </c>
      <c r="R145" s="707">
        <f>R144-O144</f>
        <v>9.9999998928979039E-4</v>
      </c>
      <c r="S145" s="707">
        <f>S144-P144</f>
        <v>-9.0000000200234354E-3</v>
      </c>
      <c r="T145" s="707">
        <f>T144-Q144</f>
        <v>2.0000000076834112E-3</v>
      </c>
      <c r="U145" s="48"/>
      <c r="V145" s="48"/>
    </row>
    <row r="146" spans="2:22" ht="33" customHeight="1" thickBot="1" x14ac:dyDescent="0.3">
      <c r="B146" s="1340"/>
      <c r="C146" s="1341"/>
      <c r="D146" s="1342"/>
      <c r="E146" s="1343"/>
      <c r="F146" s="1342"/>
      <c r="G146" s="767" t="s">
        <v>232</v>
      </c>
      <c r="H146" s="768" t="s">
        <v>240</v>
      </c>
      <c r="I146" s="763">
        <f>I156+I186</f>
        <v>34</v>
      </c>
      <c r="J146" s="1340"/>
      <c r="K146" s="763">
        <f>K156+K186</f>
        <v>34</v>
      </c>
      <c r="L146" s="763">
        <f>L156+L186</f>
        <v>34</v>
      </c>
      <c r="M146" s="771" t="s">
        <v>124</v>
      </c>
      <c r="N146" s="1332"/>
      <c r="O146" s="765">
        <f t="shared" si="5"/>
        <v>170782.51900000003</v>
      </c>
      <c r="P146" s="765">
        <f t="shared" si="5"/>
        <v>282763.69900000002</v>
      </c>
      <c r="Q146" s="766">
        <f t="shared" si="5"/>
        <v>207938.60799999998</v>
      </c>
      <c r="R146" s="745">
        <f>R144-O144</f>
        <v>9.9999998928979039E-4</v>
      </c>
      <c r="S146" s="48"/>
      <c r="T146" s="48"/>
      <c r="U146" s="48"/>
      <c r="V146" s="48"/>
    </row>
    <row r="147" spans="2:22" ht="27.75" customHeight="1" x14ac:dyDescent="0.25">
      <c r="B147" s="1340"/>
      <c r="C147" s="1341"/>
      <c r="D147" s="1342"/>
      <c r="E147" s="1343"/>
      <c r="F147" s="1342"/>
      <c r="G147" s="767" t="s">
        <v>233</v>
      </c>
      <c r="H147" s="768" t="s">
        <v>241</v>
      </c>
      <c r="I147" s="763">
        <v>2720</v>
      </c>
      <c r="J147" s="1340"/>
      <c r="K147" s="763">
        <v>2720</v>
      </c>
      <c r="L147" s="763">
        <v>2720</v>
      </c>
      <c r="M147" s="772" t="s">
        <v>745</v>
      </c>
      <c r="N147" s="1332"/>
      <c r="O147" s="765">
        <f t="shared" si="5"/>
        <v>32276.601730000002</v>
      </c>
      <c r="P147" s="765">
        <f t="shared" si="5"/>
        <v>0</v>
      </c>
      <c r="Q147" s="766">
        <f t="shared" si="5"/>
        <v>0</v>
      </c>
      <c r="R147" s="48"/>
      <c r="S147" s="48"/>
      <c r="T147" s="48"/>
      <c r="U147" s="48"/>
      <c r="V147" s="48"/>
    </row>
    <row r="148" spans="2:22" ht="39.75" customHeight="1" x14ac:dyDescent="0.25">
      <c r="B148" s="1340"/>
      <c r="C148" s="1341"/>
      <c r="D148" s="1342"/>
      <c r="E148" s="1343"/>
      <c r="F148" s="1342"/>
      <c r="G148" s="767" t="s">
        <v>254</v>
      </c>
      <c r="H148" s="768" t="s">
        <v>240</v>
      </c>
      <c r="I148" s="763" t="s">
        <v>759</v>
      </c>
      <c r="J148" s="1340"/>
      <c r="K148" s="763" t="s">
        <v>759</v>
      </c>
      <c r="L148" s="763" t="s">
        <v>759</v>
      </c>
      <c r="M148" s="1334"/>
      <c r="N148" s="1332"/>
      <c r="O148" s="1336"/>
      <c r="P148" s="1336"/>
      <c r="Q148" s="1338"/>
      <c r="R148" s="48"/>
      <c r="S148" s="48"/>
      <c r="T148" s="48"/>
      <c r="U148" s="48"/>
      <c r="V148" s="48"/>
    </row>
    <row r="149" spans="2:22" ht="63" customHeight="1" thickBot="1" x14ac:dyDescent="0.3">
      <c r="B149" s="1340"/>
      <c r="C149" s="1341"/>
      <c r="D149" s="1342"/>
      <c r="E149" s="1343"/>
      <c r="F149" s="1342"/>
      <c r="G149" s="773" t="s">
        <v>527</v>
      </c>
      <c r="H149" s="774" t="s">
        <v>240</v>
      </c>
      <c r="I149" s="775">
        <v>6</v>
      </c>
      <c r="J149" s="1340"/>
      <c r="K149" s="775">
        <v>5</v>
      </c>
      <c r="L149" s="775">
        <v>5</v>
      </c>
      <c r="M149" s="1335"/>
      <c r="N149" s="1333"/>
      <c r="O149" s="1337"/>
      <c r="P149" s="1337"/>
      <c r="Q149" s="1339"/>
      <c r="R149" s="48"/>
      <c r="S149" s="48"/>
      <c r="T149" s="48"/>
      <c r="U149" s="48"/>
      <c r="V149" s="48"/>
    </row>
    <row r="150" spans="2:22" ht="27.75" customHeight="1" thickBot="1" x14ac:dyDescent="0.3">
      <c r="B150" s="1206" t="s">
        <v>64</v>
      </c>
      <c r="C150" s="1308" t="s">
        <v>557</v>
      </c>
      <c r="D150" s="704" t="s">
        <v>116</v>
      </c>
      <c r="E150" s="1232" t="s">
        <v>116</v>
      </c>
      <c r="F150" s="1200" t="s">
        <v>587</v>
      </c>
      <c r="G150" s="1207" t="s">
        <v>116</v>
      </c>
      <c r="H150" s="1232" t="s">
        <v>116</v>
      </c>
      <c r="I150" s="1206" t="s">
        <v>116</v>
      </c>
      <c r="J150" s="1206" t="s">
        <v>462</v>
      </c>
      <c r="K150" s="1232" t="s">
        <v>116</v>
      </c>
      <c r="L150" s="1206" t="s">
        <v>116</v>
      </c>
      <c r="M150" s="542" t="s">
        <v>122</v>
      </c>
      <c r="N150" s="563" t="e">
        <f>N154+N159+N163+N167+N171+N175+N180+#REF!+N188+N196</f>
        <v>#REF!</v>
      </c>
      <c r="O150" s="681">
        <f>O151+O152</f>
        <v>116607.118</v>
      </c>
      <c r="P150" s="552">
        <f>P151+P152</f>
        <v>113348.47899999999</v>
      </c>
      <c r="Q150" s="552">
        <f>Q151+Q152</f>
        <v>113550.42799999999</v>
      </c>
      <c r="R150" s="48">
        <v>116607.12</v>
      </c>
      <c r="S150" s="48"/>
      <c r="T150" s="48"/>
      <c r="U150" s="48"/>
      <c r="V150" s="48"/>
    </row>
    <row r="151" spans="2:22" ht="21.75" customHeight="1" thickBot="1" x14ac:dyDescent="0.3">
      <c r="B151" s="1204"/>
      <c r="C151" s="1259"/>
      <c r="D151" s="694"/>
      <c r="E151" s="1209"/>
      <c r="F151" s="1201"/>
      <c r="G151" s="1199"/>
      <c r="H151" s="1209"/>
      <c r="I151" s="1204"/>
      <c r="J151" s="1204"/>
      <c r="K151" s="1209"/>
      <c r="L151" s="1204"/>
      <c r="M151" s="636" t="s">
        <v>123</v>
      </c>
      <c r="N151" s="550"/>
      <c r="O151" s="681">
        <f>O155+O160+O164+O168+O172+O176+O181+O185+O189+O197+O193</f>
        <v>2562.34</v>
      </c>
      <c r="P151" s="552">
        <f>P155+P160+P164+P168+P172+P176+P181+P185+P189+P197+P193</f>
        <v>0</v>
      </c>
      <c r="Q151" s="552">
        <f>Q155+Q160+Q164+Q168+Q172+Q176+Q181+Q185+Q189+Q197+Q193</f>
        <v>0</v>
      </c>
      <c r="R151" s="48"/>
      <c r="S151" s="48"/>
      <c r="T151" s="48"/>
      <c r="U151" s="48"/>
      <c r="V151" s="48"/>
    </row>
    <row r="152" spans="2:22" ht="24" customHeight="1" thickBot="1" x14ac:dyDescent="0.3">
      <c r="B152" s="1204"/>
      <c r="C152" s="1259"/>
      <c r="D152" s="694"/>
      <c r="E152" s="1209"/>
      <c r="F152" s="1201"/>
      <c r="G152" s="1199"/>
      <c r="H152" s="1209"/>
      <c r="I152" s="1204"/>
      <c r="J152" s="1204"/>
      <c r="K152" s="1209"/>
      <c r="L152" s="1204"/>
      <c r="M152" s="672" t="s">
        <v>124</v>
      </c>
      <c r="N152" s="550"/>
      <c r="O152" s="681">
        <f>O156+O161+O165+O169+O173+O177+O182+O186+O190+O198+O194</f>
        <v>114044.77800000001</v>
      </c>
      <c r="P152" s="676">
        <f>P156+P161+P165+P169+P173+P177+P182+P186+P190+P198</f>
        <v>113348.47899999999</v>
      </c>
      <c r="Q152" s="676">
        <f>Q156+Q161+Q165+Q169+Q173+Q177+Q182+Q186+Q190+Q198</f>
        <v>113550.42799999999</v>
      </c>
      <c r="R152" s="745">
        <v>114044.78</v>
      </c>
      <c r="S152" s="48">
        <v>113348.48</v>
      </c>
      <c r="T152" s="48">
        <v>113550.43</v>
      </c>
      <c r="U152" s="48"/>
      <c r="V152" s="48"/>
    </row>
    <row r="153" spans="2:22" ht="23.25" customHeight="1" thickBot="1" x14ac:dyDescent="0.3">
      <c r="B153" s="1204"/>
      <c r="C153" s="1259"/>
      <c r="D153" s="694"/>
      <c r="E153" s="1209"/>
      <c r="F153" s="1201"/>
      <c r="G153" s="1199"/>
      <c r="H153" s="1209"/>
      <c r="I153" s="1204"/>
      <c r="J153" s="1204"/>
      <c r="K153" s="1209"/>
      <c r="L153" s="1204"/>
      <c r="M153" s="671" t="s">
        <v>745</v>
      </c>
      <c r="N153" s="550"/>
      <c r="O153" s="681">
        <f>O157+O162+O166+O170+O174+O178+O183+O187+O191+O199</f>
        <v>0</v>
      </c>
      <c r="P153" s="676">
        <f>P157+P162+P166+P170+P174+P178+P183+P187+P191+P199</f>
        <v>0</v>
      </c>
      <c r="Q153" s="676">
        <f>Q157+Q162+Q166+Q170+Q174+Q178+Q183+Q187+Q191+Q199</f>
        <v>0</v>
      </c>
      <c r="R153" s="747">
        <f>R152-O152</f>
        <v>1.999999993131496E-3</v>
      </c>
      <c r="S153" s="747">
        <f>S152-P152</f>
        <v>1.0000000038417056E-3</v>
      </c>
      <c r="T153" s="747">
        <f>T152-Q152</f>
        <v>2.0000000076834112E-3</v>
      </c>
      <c r="U153" s="48"/>
      <c r="V153" s="48"/>
    </row>
    <row r="154" spans="2:22" ht="51.75" customHeight="1" thickBot="1" x14ac:dyDescent="0.3">
      <c r="B154" s="1206" t="s">
        <v>64</v>
      </c>
      <c r="C154" s="1207" t="s">
        <v>557</v>
      </c>
      <c r="D154" s="1207" t="s">
        <v>379</v>
      </c>
      <c r="E154" s="1207" t="s">
        <v>200</v>
      </c>
      <c r="F154" s="580" t="s">
        <v>699</v>
      </c>
      <c r="G154" s="581" t="s">
        <v>701</v>
      </c>
      <c r="H154" s="654" t="s">
        <v>244</v>
      </c>
      <c r="I154" s="701">
        <v>43875</v>
      </c>
      <c r="J154" s="1206" t="s">
        <v>462</v>
      </c>
      <c r="K154" s="701" t="s">
        <v>797</v>
      </c>
      <c r="L154" s="582" t="s">
        <v>797</v>
      </c>
      <c r="M154" s="542" t="s">
        <v>122</v>
      </c>
      <c r="N154" s="1248">
        <v>30196.73402</v>
      </c>
      <c r="O154" s="551">
        <f>O155+O156</f>
        <v>31348.55</v>
      </c>
      <c r="P154" s="551">
        <f>P155+P156</f>
        <v>31367.592000000001</v>
      </c>
      <c r="Q154" s="552">
        <f>Q155+Q156</f>
        <v>32047.934000000001</v>
      </c>
      <c r="R154" s="48"/>
      <c r="S154" s="48"/>
      <c r="T154" s="48"/>
      <c r="U154" s="48"/>
      <c r="V154" s="48"/>
    </row>
    <row r="155" spans="2:22" ht="39" customHeight="1" thickBot="1" x14ac:dyDescent="0.3">
      <c r="B155" s="1204"/>
      <c r="C155" s="1199"/>
      <c r="D155" s="1199"/>
      <c r="E155" s="1199"/>
      <c r="F155" s="583" t="s">
        <v>799</v>
      </c>
      <c r="G155" s="576" t="s">
        <v>800</v>
      </c>
      <c r="H155" s="555" t="s">
        <v>240</v>
      </c>
      <c r="I155" s="702" t="s">
        <v>374</v>
      </c>
      <c r="J155" s="1204"/>
      <c r="K155" s="578" t="s">
        <v>374</v>
      </c>
      <c r="L155" s="584" t="s">
        <v>374</v>
      </c>
      <c r="M155" s="636" t="s">
        <v>123</v>
      </c>
      <c r="N155" s="1249"/>
      <c r="O155" s="561">
        <v>0</v>
      </c>
      <c r="P155" s="562">
        <v>0</v>
      </c>
      <c r="Q155" s="550">
        <v>0</v>
      </c>
      <c r="R155" s="48" t="s">
        <v>867</v>
      </c>
      <c r="S155" s="48"/>
      <c r="T155" s="48"/>
      <c r="U155" s="48"/>
      <c r="V155" s="48"/>
    </row>
    <row r="156" spans="2:22" ht="65.25" customHeight="1" thickBot="1" x14ac:dyDescent="0.3">
      <c r="B156" s="1204"/>
      <c r="C156" s="1199"/>
      <c r="D156" s="1199"/>
      <c r="E156" s="1199"/>
      <c r="F156" s="583" t="s">
        <v>801</v>
      </c>
      <c r="G156" s="576" t="s">
        <v>234</v>
      </c>
      <c r="H156" s="555" t="s">
        <v>393</v>
      </c>
      <c r="I156" s="702" t="s">
        <v>798</v>
      </c>
      <c r="J156" s="1204"/>
      <c r="K156" s="578" t="s">
        <v>798</v>
      </c>
      <c r="L156" s="584" t="s">
        <v>798</v>
      </c>
      <c r="M156" s="672" t="s">
        <v>124</v>
      </c>
      <c r="N156" s="1249"/>
      <c r="O156" s="551">
        <v>31348.55</v>
      </c>
      <c r="P156" s="552">
        <v>31367.592000000001</v>
      </c>
      <c r="Q156" s="549">
        <v>32047.934000000001</v>
      </c>
      <c r="R156" s="48"/>
      <c r="S156" s="48"/>
      <c r="T156" s="48"/>
      <c r="U156" s="48"/>
      <c r="V156" s="48"/>
    </row>
    <row r="157" spans="2:22" ht="216.75" customHeight="1" thickBot="1" x14ac:dyDescent="0.3">
      <c r="B157" s="1204"/>
      <c r="C157" s="1199"/>
      <c r="D157" s="1199"/>
      <c r="E157" s="1199"/>
      <c r="F157" s="583" t="s">
        <v>709</v>
      </c>
      <c r="G157" s="576" t="s">
        <v>234</v>
      </c>
      <c r="H157" s="555" t="s">
        <v>393</v>
      </c>
      <c r="I157" s="702" t="s">
        <v>553</v>
      </c>
      <c r="J157" s="1204"/>
      <c r="K157" s="585" t="s">
        <v>553</v>
      </c>
      <c r="L157" s="582" t="s">
        <v>553</v>
      </c>
      <c r="M157" s="547" t="s">
        <v>745</v>
      </c>
      <c r="N157" s="1249"/>
      <c r="O157" s="552">
        <v>0</v>
      </c>
      <c r="P157" s="676">
        <v>0</v>
      </c>
      <c r="Q157" s="552">
        <v>0</v>
      </c>
      <c r="R157" s="48"/>
      <c r="S157" s="48"/>
      <c r="T157" s="48"/>
      <c r="U157" s="48"/>
      <c r="V157" s="48"/>
    </row>
    <row r="158" spans="2:22" ht="75.75" customHeight="1" thickBot="1" x14ac:dyDescent="0.3">
      <c r="B158" s="1204"/>
      <c r="C158" s="1199"/>
      <c r="D158" s="1199"/>
      <c r="E158" s="1199"/>
      <c r="F158" s="583" t="s">
        <v>710</v>
      </c>
      <c r="G158" s="576" t="s">
        <v>234</v>
      </c>
      <c r="H158" s="555" t="s">
        <v>393</v>
      </c>
      <c r="I158" s="702" t="s">
        <v>270</v>
      </c>
      <c r="J158" s="1204"/>
      <c r="K158" s="578" t="s">
        <v>270</v>
      </c>
      <c r="L158" s="586" t="s">
        <v>270</v>
      </c>
      <c r="M158" s="687"/>
      <c r="N158" s="1249"/>
      <c r="O158" s="587"/>
      <c r="P158" s="588"/>
      <c r="Q158" s="589"/>
      <c r="R158" s="48"/>
      <c r="S158" s="48"/>
      <c r="T158" s="48"/>
      <c r="U158" s="48"/>
      <c r="V158" s="48"/>
    </row>
    <row r="159" spans="2:22" ht="33" customHeight="1" thickBot="1" x14ac:dyDescent="0.3">
      <c r="B159" s="1206" t="s">
        <v>64</v>
      </c>
      <c r="C159" s="1215" t="s">
        <v>557</v>
      </c>
      <c r="D159" s="1229">
        <v>27301848</v>
      </c>
      <c r="E159" s="1207" t="s">
        <v>380</v>
      </c>
      <c r="F159" s="1200" t="s">
        <v>700</v>
      </c>
      <c r="G159" s="1268" t="s">
        <v>702</v>
      </c>
      <c r="H159" s="1207" t="s">
        <v>244</v>
      </c>
      <c r="I159" s="1207">
        <f>66088+46376</f>
        <v>112464</v>
      </c>
      <c r="J159" s="1206" t="s">
        <v>462</v>
      </c>
      <c r="K159" s="1207">
        <f>66088+46376</f>
        <v>112464</v>
      </c>
      <c r="L159" s="1207">
        <f>66088+46376</f>
        <v>112464</v>
      </c>
      <c r="M159" s="542" t="s">
        <v>122</v>
      </c>
      <c r="N159" s="1248">
        <v>16658.537670000002</v>
      </c>
      <c r="O159" s="551">
        <f>O160+O161</f>
        <v>18322.400000000001</v>
      </c>
      <c r="P159" s="551">
        <f>P160+P161</f>
        <v>18139.224999999999</v>
      </c>
      <c r="Q159" s="552">
        <f>Q160+Q161</f>
        <v>18191.717000000001</v>
      </c>
      <c r="R159" s="48"/>
      <c r="S159" s="48"/>
      <c r="T159" s="48"/>
      <c r="U159" s="48"/>
      <c r="V159" s="48"/>
    </row>
    <row r="160" spans="2:22" ht="56.25" customHeight="1" thickBot="1" x14ac:dyDescent="0.3">
      <c r="B160" s="1204"/>
      <c r="C160" s="1192"/>
      <c r="D160" s="1230"/>
      <c r="E160" s="1199"/>
      <c r="F160" s="1202"/>
      <c r="G160" s="1256"/>
      <c r="H160" s="1208"/>
      <c r="I160" s="1208"/>
      <c r="J160" s="1204"/>
      <c r="K160" s="1208"/>
      <c r="L160" s="1208"/>
      <c r="M160" s="636" t="s">
        <v>123</v>
      </c>
      <c r="N160" s="1249"/>
      <c r="O160" s="551">
        <v>0</v>
      </c>
      <c r="P160" s="552">
        <v>0</v>
      </c>
      <c r="Q160" s="549">
        <v>0</v>
      </c>
      <c r="R160" s="48"/>
      <c r="S160" s="48"/>
      <c r="T160" s="48"/>
      <c r="U160" s="48"/>
      <c r="V160" s="48"/>
    </row>
    <row r="161" spans="2:22" ht="28.5" customHeight="1" thickBot="1" x14ac:dyDescent="0.3">
      <c r="B161" s="1204"/>
      <c r="C161" s="1192"/>
      <c r="D161" s="1245"/>
      <c r="E161" s="1199"/>
      <c r="F161" s="1201" t="s">
        <v>699</v>
      </c>
      <c r="G161" s="1267" t="s">
        <v>701</v>
      </c>
      <c r="H161" s="1199" t="s">
        <v>244</v>
      </c>
      <c r="I161" s="1204" t="s">
        <v>804</v>
      </c>
      <c r="J161" s="1204"/>
      <c r="K161" s="1204" t="s">
        <v>804</v>
      </c>
      <c r="L161" s="1204" t="s">
        <v>804</v>
      </c>
      <c r="M161" s="672" t="s">
        <v>124</v>
      </c>
      <c r="N161" s="1250"/>
      <c r="O161" s="557">
        <v>18322.400000000001</v>
      </c>
      <c r="P161" s="676">
        <v>18139.224999999999</v>
      </c>
      <c r="Q161" s="563">
        <v>18191.717000000001</v>
      </c>
      <c r="R161" s="48"/>
      <c r="S161" s="48"/>
      <c r="T161" s="48"/>
      <c r="U161" s="48"/>
      <c r="V161" s="48"/>
    </row>
    <row r="162" spans="2:22" ht="35.25" customHeight="1" thickBot="1" x14ac:dyDescent="0.3">
      <c r="B162" s="1205"/>
      <c r="C162" s="1216"/>
      <c r="D162" s="674"/>
      <c r="E162" s="1208"/>
      <c r="F162" s="1202"/>
      <c r="G162" s="1256"/>
      <c r="H162" s="1208"/>
      <c r="I162" s="1205"/>
      <c r="J162" s="1205"/>
      <c r="K162" s="1205"/>
      <c r="L162" s="1205"/>
      <c r="M162" s="547" t="s">
        <v>745</v>
      </c>
      <c r="N162" s="563"/>
      <c r="O162" s="557">
        <v>0</v>
      </c>
      <c r="P162" s="676">
        <v>0</v>
      </c>
      <c r="Q162" s="563">
        <v>0</v>
      </c>
      <c r="R162" s="48"/>
      <c r="S162" s="48"/>
      <c r="T162" s="48"/>
      <c r="U162" s="48"/>
      <c r="V162" s="48"/>
    </row>
    <row r="163" spans="2:22" ht="33.75" customHeight="1" thickBot="1" x14ac:dyDescent="0.3">
      <c r="B163" s="1206" t="s">
        <v>64</v>
      </c>
      <c r="C163" s="1207" t="s">
        <v>557</v>
      </c>
      <c r="D163" s="1199" t="s">
        <v>382</v>
      </c>
      <c r="E163" s="1207" t="s">
        <v>383</v>
      </c>
      <c r="F163" s="1200" t="s">
        <v>700</v>
      </c>
      <c r="G163" s="1200" t="s">
        <v>702</v>
      </c>
      <c r="H163" s="1207" t="s">
        <v>244</v>
      </c>
      <c r="I163" s="1207">
        <f>25864+29136</f>
        <v>55000</v>
      </c>
      <c r="J163" s="1207" t="s">
        <v>462</v>
      </c>
      <c r="K163" s="1207">
        <f>25864+29136</f>
        <v>55000</v>
      </c>
      <c r="L163" s="1207">
        <f>25864+29136</f>
        <v>55000</v>
      </c>
      <c r="M163" s="542" t="s">
        <v>122</v>
      </c>
      <c r="N163" s="1248">
        <v>16658.537670000002</v>
      </c>
      <c r="O163" s="551">
        <f>O164+O165</f>
        <v>6044.92</v>
      </c>
      <c r="P163" s="551">
        <f>P164+P165</f>
        <v>5921.2790000000005</v>
      </c>
      <c r="Q163" s="552">
        <f>Q164+Q165</f>
        <v>5893.24</v>
      </c>
      <c r="R163" s="48"/>
      <c r="S163" s="48"/>
      <c r="T163" s="48"/>
      <c r="U163" s="48"/>
      <c r="V163" s="48"/>
    </row>
    <row r="164" spans="2:22" ht="46.5" customHeight="1" thickBot="1" x14ac:dyDescent="0.3">
      <c r="B164" s="1204"/>
      <c r="C164" s="1199"/>
      <c r="D164" s="1199"/>
      <c r="E164" s="1199"/>
      <c r="F164" s="1235"/>
      <c r="G164" s="1235"/>
      <c r="H164" s="1237"/>
      <c r="I164" s="1237"/>
      <c r="J164" s="1199"/>
      <c r="K164" s="1237"/>
      <c r="L164" s="1237"/>
      <c r="M164" s="636" t="s">
        <v>123</v>
      </c>
      <c r="N164" s="1249"/>
      <c r="O164" s="551">
        <v>0</v>
      </c>
      <c r="P164" s="552">
        <v>0</v>
      </c>
      <c r="Q164" s="549">
        <v>0</v>
      </c>
      <c r="R164" s="48"/>
      <c r="S164" s="48"/>
      <c r="T164" s="48"/>
      <c r="U164" s="48"/>
      <c r="V164" s="48"/>
    </row>
    <row r="165" spans="2:22" ht="27.75" customHeight="1" thickBot="1" x14ac:dyDescent="0.3">
      <c r="B165" s="1204"/>
      <c r="C165" s="1199"/>
      <c r="D165" s="1199"/>
      <c r="E165" s="1199"/>
      <c r="F165" s="1234" t="s">
        <v>699</v>
      </c>
      <c r="G165" s="1234" t="s">
        <v>701</v>
      </c>
      <c r="H165" s="1236" t="s">
        <v>244</v>
      </c>
      <c r="I165" s="1236">
        <v>18304</v>
      </c>
      <c r="J165" s="1199"/>
      <c r="K165" s="1236">
        <v>18304</v>
      </c>
      <c r="L165" s="1236">
        <v>18304</v>
      </c>
      <c r="M165" s="672" t="s">
        <v>124</v>
      </c>
      <c r="N165" s="1250"/>
      <c r="O165" s="557">
        <v>6044.92</v>
      </c>
      <c r="P165" s="676">
        <v>5921.2790000000005</v>
      </c>
      <c r="Q165" s="563">
        <v>5893.24</v>
      </c>
      <c r="R165" s="48"/>
      <c r="S165" s="48"/>
      <c r="T165" s="48"/>
      <c r="U165" s="48"/>
      <c r="V165" s="48"/>
    </row>
    <row r="166" spans="2:22" ht="34.5" customHeight="1" thickBot="1" x14ac:dyDescent="0.3">
      <c r="B166" s="1205"/>
      <c r="C166" s="1208"/>
      <c r="D166" s="672"/>
      <c r="E166" s="1208"/>
      <c r="F166" s="1201"/>
      <c r="G166" s="1201"/>
      <c r="H166" s="1199"/>
      <c r="I166" s="1199"/>
      <c r="J166" s="1199"/>
      <c r="K166" s="1199"/>
      <c r="L166" s="1199"/>
      <c r="M166" s="671" t="s">
        <v>745</v>
      </c>
      <c r="N166" s="550"/>
      <c r="O166" s="561">
        <v>0</v>
      </c>
      <c r="P166" s="562">
        <v>0</v>
      </c>
      <c r="Q166" s="550">
        <v>0</v>
      </c>
      <c r="R166" s="48"/>
      <c r="S166" s="48"/>
      <c r="T166" s="48"/>
      <c r="U166" s="48"/>
      <c r="V166" s="48"/>
    </row>
    <row r="167" spans="2:22" ht="35.25" customHeight="1" thickBot="1" x14ac:dyDescent="0.3">
      <c r="B167" s="1206" t="s">
        <v>64</v>
      </c>
      <c r="C167" s="1207" t="s">
        <v>557</v>
      </c>
      <c r="D167" s="1207">
        <v>27301837</v>
      </c>
      <c r="E167" s="1207" t="s">
        <v>628</v>
      </c>
      <c r="F167" s="1268" t="s">
        <v>700</v>
      </c>
      <c r="G167" s="1268" t="s">
        <v>702</v>
      </c>
      <c r="H167" s="1207" t="s">
        <v>244</v>
      </c>
      <c r="I167" s="1207">
        <f>5520+26496+38916</f>
        <v>70932</v>
      </c>
      <c r="J167" s="1207" t="s">
        <v>462</v>
      </c>
      <c r="K167" s="1207">
        <f>5520+26496+38916</f>
        <v>70932</v>
      </c>
      <c r="L167" s="1207">
        <f>5520+26496+38916</f>
        <v>70932</v>
      </c>
      <c r="M167" s="542" t="s">
        <v>122</v>
      </c>
      <c r="N167" s="1248">
        <v>6704.5638200000003</v>
      </c>
      <c r="O167" s="551">
        <f>O168+O169+O170</f>
        <v>7096.06</v>
      </c>
      <c r="P167" s="551">
        <f>P168+P169+P170</f>
        <v>7027.0680000000002</v>
      </c>
      <c r="Q167" s="552">
        <f>Q168+Q169+Q170</f>
        <v>7027.0879999999997</v>
      </c>
      <c r="R167" s="48"/>
      <c r="S167" s="48"/>
      <c r="T167" s="48"/>
      <c r="U167" s="48"/>
      <c r="V167" s="48"/>
    </row>
    <row r="168" spans="2:22" ht="39.75" customHeight="1" thickBot="1" x14ac:dyDescent="0.3">
      <c r="B168" s="1204"/>
      <c r="C168" s="1199"/>
      <c r="D168" s="1199"/>
      <c r="E168" s="1199"/>
      <c r="F168" s="1307"/>
      <c r="G168" s="1307"/>
      <c r="H168" s="1237"/>
      <c r="I168" s="1237"/>
      <c r="J168" s="1199"/>
      <c r="K168" s="1237"/>
      <c r="L168" s="1237"/>
      <c r="M168" s="636" t="s">
        <v>123</v>
      </c>
      <c r="N168" s="1249"/>
      <c r="O168" s="561">
        <v>0</v>
      </c>
      <c r="P168" s="562">
        <v>0</v>
      </c>
      <c r="Q168" s="550">
        <v>0</v>
      </c>
      <c r="R168" s="48"/>
      <c r="S168" s="48"/>
      <c r="T168" s="48"/>
      <c r="U168" s="48"/>
      <c r="V168" s="48"/>
    </row>
    <row r="169" spans="2:22" ht="30.75" customHeight="1" thickBot="1" x14ac:dyDescent="0.3">
      <c r="B169" s="1204"/>
      <c r="C169" s="1199"/>
      <c r="D169" s="1237"/>
      <c r="E169" s="1199"/>
      <c r="F169" s="1255" t="s">
        <v>699</v>
      </c>
      <c r="G169" s="1255" t="s">
        <v>701</v>
      </c>
      <c r="H169" s="1236" t="s">
        <v>244</v>
      </c>
      <c r="I169" s="1236">
        <v>7176</v>
      </c>
      <c r="J169" s="1199"/>
      <c r="K169" s="1236">
        <v>7176</v>
      </c>
      <c r="L169" s="1236">
        <v>7176</v>
      </c>
      <c r="M169" s="672" t="s">
        <v>124</v>
      </c>
      <c r="N169" s="1250"/>
      <c r="O169" s="551">
        <v>7096.06</v>
      </c>
      <c r="P169" s="552">
        <v>7027.0680000000002</v>
      </c>
      <c r="Q169" s="549">
        <v>7027.0879999999997</v>
      </c>
      <c r="R169" s="48"/>
      <c r="S169" s="48"/>
      <c r="T169" s="48"/>
      <c r="U169" s="48"/>
      <c r="V169" s="48"/>
    </row>
    <row r="170" spans="2:22" ht="21.75" customHeight="1" thickBot="1" x14ac:dyDescent="0.3">
      <c r="B170" s="1205"/>
      <c r="C170" s="1208"/>
      <c r="D170" s="692"/>
      <c r="E170" s="1208"/>
      <c r="F170" s="1256"/>
      <c r="G170" s="1256"/>
      <c r="H170" s="1208"/>
      <c r="I170" s="1208"/>
      <c r="J170" s="1208"/>
      <c r="K170" s="1208"/>
      <c r="L170" s="1208"/>
      <c r="M170" s="547" t="s">
        <v>745</v>
      </c>
      <c r="N170" s="681"/>
      <c r="O170" s="557">
        <v>0</v>
      </c>
      <c r="P170" s="676">
        <v>0</v>
      </c>
      <c r="Q170" s="563">
        <v>0</v>
      </c>
      <c r="R170" s="48"/>
      <c r="S170" s="48"/>
      <c r="T170" s="48"/>
      <c r="U170" s="48"/>
      <c r="V170" s="48"/>
    </row>
    <row r="171" spans="2:22" ht="36.75" customHeight="1" thickBot="1" x14ac:dyDescent="0.3">
      <c r="B171" s="1206" t="s">
        <v>64</v>
      </c>
      <c r="C171" s="1207" t="s">
        <v>557</v>
      </c>
      <c r="D171" s="1207">
        <v>27302170</v>
      </c>
      <c r="E171" s="1207" t="s">
        <v>201</v>
      </c>
      <c r="F171" s="1200" t="s">
        <v>700</v>
      </c>
      <c r="G171" s="1268" t="s">
        <v>702</v>
      </c>
      <c r="H171" s="1207" t="s">
        <v>244</v>
      </c>
      <c r="I171" s="1207">
        <f>50248+10208</f>
        <v>60456</v>
      </c>
      <c r="J171" s="1207" t="s">
        <v>462</v>
      </c>
      <c r="K171" s="1207">
        <f>50248+10208</f>
        <v>60456</v>
      </c>
      <c r="L171" s="1207">
        <f>50248+10208</f>
        <v>60456</v>
      </c>
      <c r="M171" s="542" t="s">
        <v>122</v>
      </c>
      <c r="N171" s="1248">
        <v>6704.5638200000003</v>
      </c>
      <c r="O171" s="551">
        <f>O172+O173+O174</f>
        <v>12743.6</v>
      </c>
      <c r="P171" s="551">
        <f>P172+P173+P174</f>
        <v>12570.558000000001</v>
      </c>
      <c r="Q171" s="552">
        <f>Q172+Q173+Q174</f>
        <v>12584.976000000001</v>
      </c>
      <c r="R171" s="48"/>
      <c r="S171" s="48"/>
      <c r="T171" s="48"/>
      <c r="U171" s="48"/>
      <c r="V171" s="48"/>
    </row>
    <row r="172" spans="2:22" ht="38.25" customHeight="1" thickBot="1" x14ac:dyDescent="0.3">
      <c r="B172" s="1204"/>
      <c r="C172" s="1199"/>
      <c r="D172" s="1199"/>
      <c r="E172" s="1199"/>
      <c r="F172" s="1235"/>
      <c r="G172" s="1307"/>
      <c r="H172" s="1237"/>
      <c r="I172" s="1237"/>
      <c r="J172" s="1199"/>
      <c r="K172" s="1237"/>
      <c r="L172" s="1237"/>
      <c r="M172" s="636" t="s">
        <v>123</v>
      </c>
      <c r="N172" s="1249"/>
      <c r="O172" s="561">
        <v>0</v>
      </c>
      <c r="P172" s="562">
        <v>0</v>
      </c>
      <c r="Q172" s="550">
        <v>0</v>
      </c>
      <c r="R172" s="48"/>
      <c r="S172" s="48"/>
      <c r="T172" s="48"/>
      <c r="U172" s="48"/>
      <c r="V172" s="48"/>
    </row>
    <row r="173" spans="2:22" ht="33" customHeight="1" thickBot="1" x14ac:dyDescent="0.3">
      <c r="B173" s="1204"/>
      <c r="C173" s="1199"/>
      <c r="D173" s="1237"/>
      <c r="E173" s="1199"/>
      <c r="F173" s="1234" t="s">
        <v>699</v>
      </c>
      <c r="G173" s="1255" t="s">
        <v>701</v>
      </c>
      <c r="H173" s="1236" t="s">
        <v>244</v>
      </c>
      <c r="I173" s="1236">
        <v>86856</v>
      </c>
      <c r="J173" s="1199"/>
      <c r="K173" s="1236">
        <v>86856</v>
      </c>
      <c r="L173" s="1236">
        <v>86856</v>
      </c>
      <c r="M173" s="672" t="s">
        <v>124</v>
      </c>
      <c r="N173" s="1250"/>
      <c r="O173" s="551">
        <v>12743.6</v>
      </c>
      <c r="P173" s="552">
        <v>12570.558000000001</v>
      </c>
      <c r="Q173" s="549">
        <v>12584.976000000001</v>
      </c>
      <c r="R173" s="48"/>
      <c r="S173" s="48"/>
      <c r="T173" s="48"/>
      <c r="U173" s="48"/>
      <c r="V173" s="48"/>
    </row>
    <row r="174" spans="2:22" ht="30.75" customHeight="1" thickBot="1" x14ac:dyDescent="0.3">
      <c r="B174" s="1205"/>
      <c r="C174" s="1208"/>
      <c r="D174" s="692"/>
      <c r="E174" s="1208"/>
      <c r="F174" s="1202"/>
      <c r="G174" s="1256"/>
      <c r="H174" s="1208"/>
      <c r="I174" s="1208"/>
      <c r="J174" s="1208"/>
      <c r="K174" s="1208"/>
      <c r="L174" s="1208"/>
      <c r="M174" s="547" t="s">
        <v>745</v>
      </c>
      <c r="N174" s="681"/>
      <c r="O174" s="557">
        <v>0</v>
      </c>
      <c r="P174" s="676">
        <v>0</v>
      </c>
      <c r="Q174" s="563">
        <v>0</v>
      </c>
      <c r="R174" s="48"/>
      <c r="S174" s="48"/>
      <c r="T174" s="48"/>
      <c r="U174" s="48"/>
      <c r="V174" s="48"/>
    </row>
    <row r="175" spans="2:22" ht="35.25" customHeight="1" thickBot="1" x14ac:dyDescent="0.3">
      <c r="B175" s="1206" t="s">
        <v>64</v>
      </c>
      <c r="C175" s="1207" t="s">
        <v>557</v>
      </c>
      <c r="D175" s="1207">
        <v>27301830</v>
      </c>
      <c r="E175" s="1207" t="s">
        <v>458</v>
      </c>
      <c r="F175" s="1200" t="s">
        <v>700</v>
      </c>
      <c r="G175" s="1268" t="s">
        <v>702</v>
      </c>
      <c r="H175" s="1207" t="s">
        <v>244</v>
      </c>
      <c r="I175" s="1215">
        <f>54560+71280</f>
        <v>125840</v>
      </c>
      <c r="J175" s="1207" t="s">
        <v>462</v>
      </c>
      <c r="K175" s="1207">
        <f>54560+71280</f>
        <v>125840</v>
      </c>
      <c r="L175" s="1207">
        <f>54560+71280</f>
        <v>125840</v>
      </c>
      <c r="M175" s="542" t="s">
        <v>122</v>
      </c>
      <c r="N175" s="1248">
        <v>6704.5638200000003</v>
      </c>
      <c r="O175" s="551">
        <f>O176+O177+O178</f>
        <v>14140.2745</v>
      </c>
      <c r="P175" s="551">
        <f>P176+P177+P178</f>
        <v>13302.614</v>
      </c>
      <c r="Q175" s="552">
        <f>Q176+Q177+Q178</f>
        <v>13288.449000000001</v>
      </c>
      <c r="R175" s="48"/>
      <c r="S175" s="48"/>
      <c r="T175" s="48"/>
      <c r="U175" s="48"/>
      <c r="V175" s="48"/>
    </row>
    <row r="176" spans="2:22" ht="45.75" customHeight="1" thickBot="1" x14ac:dyDescent="0.3">
      <c r="B176" s="1204"/>
      <c r="C176" s="1199"/>
      <c r="D176" s="1199"/>
      <c r="E176" s="1199"/>
      <c r="F176" s="1235"/>
      <c r="G176" s="1307"/>
      <c r="H176" s="1237"/>
      <c r="I176" s="1239"/>
      <c r="J176" s="1199"/>
      <c r="K176" s="1237"/>
      <c r="L176" s="1237"/>
      <c r="M176" s="636" t="s">
        <v>123</v>
      </c>
      <c r="N176" s="1249"/>
      <c r="O176" s="561">
        <v>0</v>
      </c>
      <c r="P176" s="562">
        <v>0</v>
      </c>
      <c r="Q176" s="550">
        <v>0</v>
      </c>
      <c r="R176" s="48"/>
      <c r="S176" s="48"/>
      <c r="T176" s="48"/>
      <c r="U176" s="48"/>
      <c r="V176" s="48"/>
    </row>
    <row r="177" spans="2:22" ht="35.25" customHeight="1" thickBot="1" x14ac:dyDescent="0.3">
      <c r="B177" s="1204"/>
      <c r="C177" s="1199"/>
      <c r="D177" s="1237"/>
      <c r="E177" s="1199"/>
      <c r="F177" s="1234" t="s">
        <v>699</v>
      </c>
      <c r="G177" s="1255" t="s">
        <v>701</v>
      </c>
      <c r="H177" s="1236" t="s">
        <v>244</v>
      </c>
      <c r="I177" s="1238">
        <v>133584</v>
      </c>
      <c r="J177" s="1199"/>
      <c r="K177" s="1236">
        <v>133584</v>
      </c>
      <c r="L177" s="1236">
        <v>133584</v>
      </c>
      <c r="M177" s="672" t="s">
        <v>124</v>
      </c>
      <c r="N177" s="1250"/>
      <c r="O177" s="551">
        <v>14140.2745</v>
      </c>
      <c r="P177" s="552">
        <v>13302.614</v>
      </c>
      <c r="Q177" s="549">
        <v>13288.449000000001</v>
      </c>
      <c r="R177" s="48"/>
      <c r="S177" s="48"/>
      <c r="T177" s="48"/>
      <c r="U177" s="48"/>
      <c r="V177" s="48"/>
    </row>
    <row r="178" spans="2:22" ht="30.75" customHeight="1" thickBot="1" x14ac:dyDescent="0.3">
      <c r="B178" s="1204"/>
      <c r="C178" s="1199"/>
      <c r="D178" s="692"/>
      <c r="E178" s="1199"/>
      <c r="F178" s="1201"/>
      <c r="G178" s="1267"/>
      <c r="H178" s="1199"/>
      <c r="I178" s="1192"/>
      <c r="J178" s="1199"/>
      <c r="K178" s="1199"/>
      <c r="L178" s="1199"/>
      <c r="M178" s="1206" t="s">
        <v>745</v>
      </c>
      <c r="N178" s="681"/>
      <c r="O178" s="1246">
        <v>0</v>
      </c>
      <c r="P178" s="1246">
        <v>0</v>
      </c>
      <c r="Q178" s="1246">
        <v>0</v>
      </c>
      <c r="R178" s="48"/>
      <c r="S178" s="48"/>
      <c r="T178" s="48"/>
      <c r="U178" s="48"/>
      <c r="V178" s="48"/>
    </row>
    <row r="179" spans="2:22" ht="64.5" customHeight="1" thickBot="1" x14ac:dyDescent="0.3">
      <c r="B179" s="1205"/>
      <c r="C179" s="1208"/>
      <c r="D179" s="692"/>
      <c r="E179" s="1216"/>
      <c r="F179" s="590" t="s">
        <v>805</v>
      </c>
      <c r="G179" s="591" t="s">
        <v>187</v>
      </c>
      <c r="H179" s="628" t="s">
        <v>241</v>
      </c>
      <c r="I179" s="592">
        <v>3</v>
      </c>
      <c r="J179" s="1208"/>
      <c r="K179" s="1208"/>
      <c r="L179" s="1208"/>
      <c r="M179" s="1205"/>
      <c r="N179" s="681"/>
      <c r="O179" s="1247"/>
      <c r="P179" s="1247"/>
      <c r="Q179" s="1247"/>
      <c r="R179" s="48"/>
      <c r="S179" s="48"/>
      <c r="T179" s="48"/>
      <c r="U179" s="48"/>
      <c r="V179" s="48"/>
    </row>
    <row r="180" spans="2:22" ht="30.75" customHeight="1" thickBot="1" x14ac:dyDescent="0.3">
      <c r="B180" s="1206" t="s">
        <v>64</v>
      </c>
      <c r="C180" s="1215" t="s">
        <v>557</v>
      </c>
      <c r="D180" s="1199">
        <v>27301967</v>
      </c>
      <c r="E180" s="1207" t="s">
        <v>459</v>
      </c>
      <c r="F180" s="1201" t="s">
        <v>700</v>
      </c>
      <c r="G180" s="1201" t="s">
        <v>702</v>
      </c>
      <c r="H180" s="1199" t="s">
        <v>244</v>
      </c>
      <c r="I180" s="1199">
        <f>11776+43404</f>
        <v>55180</v>
      </c>
      <c r="J180" s="1199" t="s">
        <v>462</v>
      </c>
      <c r="K180" s="1199">
        <f>11776+43404</f>
        <v>55180</v>
      </c>
      <c r="L180" s="1199">
        <f>11776+43404</f>
        <v>55180</v>
      </c>
      <c r="M180" s="672" t="s">
        <v>122</v>
      </c>
      <c r="N180" s="1249">
        <v>6704.5638200000003</v>
      </c>
      <c r="O180" s="551">
        <f>O181+O182+O183</f>
        <v>7039.9444999999996</v>
      </c>
      <c r="P180" s="551">
        <f>P181+P182+P183</f>
        <v>7032.808</v>
      </c>
      <c r="Q180" s="552">
        <f>Q181+Q182+Q183</f>
        <v>7024.1090000000004</v>
      </c>
      <c r="R180" s="48"/>
      <c r="S180" s="48"/>
      <c r="T180" s="48"/>
      <c r="U180" s="48"/>
      <c r="V180" s="48"/>
    </row>
    <row r="181" spans="2:22" ht="46.5" customHeight="1" thickBot="1" x14ac:dyDescent="0.3">
      <c r="B181" s="1204"/>
      <c r="C181" s="1192"/>
      <c r="D181" s="1199"/>
      <c r="E181" s="1199"/>
      <c r="F181" s="1235"/>
      <c r="G181" s="1235"/>
      <c r="H181" s="1237"/>
      <c r="I181" s="1237"/>
      <c r="J181" s="1199"/>
      <c r="K181" s="1237"/>
      <c r="L181" s="1237"/>
      <c r="M181" s="636" t="s">
        <v>123</v>
      </c>
      <c r="N181" s="1249"/>
      <c r="O181" s="561">
        <v>0</v>
      </c>
      <c r="P181" s="562">
        <v>0</v>
      </c>
      <c r="Q181" s="550">
        <v>0</v>
      </c>
      <c r="R181" s="48"/>
      <c r="S181" s="48"/>
      <c r="T181" s="48"/>
      <c r="U181" s="48"/>
      <c r="V181" s="48"/>
    </row>
    <row r="182" spans="2:22" ht="26.25" customHeight="1" thickBot="1" x14ac:dyDescent="0.3">
      <c r="B182" s="1204"/>
      <c r="C182" s="1192"/>
      <c r="D182" s="1199"/>
      <c r="E182" s="1199"/>
      <c r="F182" s="1234" t="s">
        <v>699</v>
      </c>
      <c r="G182" s="1234" t="s">
        <v>701</v>
      </c>
      <c r="H182" s="1236" t="s">
        <v>244</v>
      </c>
      <c r="I182" s="1236" t="s">
        <v>715</v>
      </c>
      <c r="J182" s="1199"/>
      <c r="K182" s="1236" t="s">
        <v>715</v>
      </c>
      <c r="L182" s="1236" t="s">
        <v>715</v>
      </c>
      <c r="M182" s="672" t="s">
        <v>124</v>
      </c>
      <c r="N182" s="1250"/>
      <c r="O182" s="551">
        <v>7039.9444999999996</v>
      </c>
      <c r="P182" s="552">
        <v>7032.808</v>
      </c>
      <c r="Q182" s="549">
        <v>7024.1090000000004</v>
      </c>
      <c r="R182" s="48"/>
      <c r="S182" s="48"/>
      <c r="T182" s="48"/>
      <c r="U182" s="48"/>
      <c r="V182" s="48"/>
    </row>
    <row r="183" spans="2:22" ht="39" customHeight="1" thickBot="1" x14ac:dyDescent="0.3">
      <c r="B183" s="670"/>
      <c r="C183" s="1216"/>
      <c r="D183" s="674"/>
      <c r="E183" s="1208"/>
      <c r="F183" s="1202"/>
      <c r="G183" s="1202"/>
      <c r="H183" s="1208"/>
      <c r="I183" s="1208"/>
      <c r="J183" s="1208"/>
      <c r="K183" s="1208"/>
      <c r="L183" s="1208"/>
      <c r="M183" s="547" t="s">
        <v>745</v>
      </c>
      <c r="N183" s="681"/>
      <c r="O183" s="557">
        <v>0</v>
      </c>
      <c r="P183" s="676">
        <v>0</v>
      </c>
      <c r="Q183" s="563">
        <v>0</v>
      </c>
      <c r="R183" s="48"/>
      <c r="S183" s="48"/>
      <c r="T183" s="48"/>
      <c r="U183" s="48"/>
      <c r="V183" s="48"/>
    </row>
    <row r="184" spans="2:22" ht="31.5" customHeight="1" thickBot="1" x14ac:dyDescent="0.3">
      <c r="B184" s="1206" t="s">
        <v>64</v>
      </c>
      <c r="C184" s="1215" t="s">
        <v>557</v>
      </c>
      <c r="D184" s="1229"/>
      <c r="E184" s="1207" t="s">
        <v>460</v>
      </c>
      <c r="F184" s="1200" t="s">
        <v>699</v>
      </c>
      <c r="G184" s="1200" t="s">
        <v>701</v>
      </c>
      <c r="H184" s="1207" t="s">
        <v>244</v>
      </c>
      <c r="I184" s="1207">
        <v>58236</v>
      </c>
      <c r="J184" s="1207" t="s">
        <v>462</v>
      </c>
      <c r="K184" s="1207">
        <v>58236</v>
      </c>
      <c r="L184" s="1207">
        <v>58236</v>
      </c>
      <c r="M184" s="542" t="s">
        <v>122</v>
      </c>
      <c r="N184" s="1248"/>
      <c r="O184" s="551">
        <f>O185+O186+O187</f>
        <v>6726.1544999999996</v>
      </c>
      <c r="P184" s="551">
        <f>P185+P186+P187</f>
        <v>6511.6589999999997</v>
      </c>
      <c r="Q184" s="552">
        <f>Q185+Q186+Q187</f>
        <v>6391.5309999999999</v>
      </c>
      <c r="R184" s="48"/>
      <c r="S184" s="48"/>
      <c r="T184" s="48"/>
      <c r="U184" s="48"/>
      <c r="V184" s="48"/>
    </row>
    <row r="185" spans="2:22" ht="24.75" customHeight="1" thickBot="1" x14ac:dyDescent="0.3">
      <c r="B185" s="1204"/>
      <c r="C185" s="1192"/>
      <c r="D185" s="1230"/>
      <c r="E185" s="1199"/>
      <c r="F185" s="1235"/>
      <c r="G185" s="1235"/>
      <c r="H185" s="1237"/>
      <c r="I185" s="1237"/>
      <c r="J185" s="1199"/>
      <c r="K185" s="1237"/>
      <c r="L185" s="1237"/>
      <c r="M185" s="636" t="s">
        <v>123</v>
      </c>
      <c r="N185" s="1249"/>
      <c r="O185" s="561">
        <v>0</v>
      </c>
      <c r="P185" s="562">
        <v>0</v>
      </c>
      <c r="Q185" s="550">
        <v>0</v>
      </c>
      <c r="R185" s="48"/>
      <c r="S185" s="48"/>
      <c r="T185" s="48"/>
      <c r="U185" s="48"/>
      <c r="V185" s="48"/>
    </row>
    <row r="186" spans="2:22" ht="24.75" customHeight="1" thickBot="1" x14ac:dyDescent="0.3">
      <c r="B186" s="1204"/>
      <c r="C186" s="1192"/>
      <c r="D186" s="1245"/>
      <c r="E186" s="1199"/>
      <c r="F186" s="1234" t="s">
        <v>708</v>
      </c>
      <c r="G186" s="1234" t="s">
        <v>234</v>
      </c>
      <c r="H186" s="1236" t="s">
        <v>393</v>
      </c>
      <c r="I186" s="1236">
        <v>4</v>
      </c>
      <c r="J186" s="1199"/>
      <c r="K186" s="1236">
        <v>4</v>
      </c>
      <c r="L186" s="1236">
        <v>4</v>
      </c>
      <c r="M186" s="672" t="s">
        <v>124</v>
      </c>
      <c r="N186" s="1250"/>
      <c r="O186" s="551">
        <v>6726.1544999999996</v>
      </c>
      <c r="P186" s="552">
        <v>6511.6589999999997</v>
      </c>
      <c r="Q186" s="549">
        <v>6391.5309999999999</v>
      </c>
      <c r="R186" s="48"/>
      <c r="S186" s="48"/>
      <c r="T186" s="48"/>
      <c r="U186" s="48"/>
      <c r="V186" s="48"/>
    </row>
    <row r="187" spans="2:22" ht="41.25" customHeight="1" thickBot="1" x14ac:dyDescent="0.3">
      <c r="B187" s="1205"/>
      <c r="C187" s="1216"/>
      <c r="D187" s="674"/>
      <c r="E187" s="1208"/>
      <c r="F187" s="1202"/>
      <c r="G187" s="1202"/>
      <c r="H187" s="1208"/>
      <c r="I187" s="1208"/>
      <c r="J187" s="1208"/>
      <c r="K187" s="1208"/>
      <c r="L187" s="1208"/>
      <c r="M187" s="547" t="s">
        <v>745</v>
      </c>
      <c r="N187" s="681"/>
      <c r="O187" s="557">
        <v>0</v>
      </c>
      <c r="P187" s="676">
        <v>0</v>
      </c>
      <c r="Q187" s="563">
        <v>0</v>
      </c>
      <c r="R187" s="48"/>
      <c r="S187" s="48"/>
      <c r="T187" s="48"/>
      <c r="U187" s="48"/>
      <c r="V187" s="48"/>
    </row>
    <row r="188" spans="2:22" ht="30.75" customHeight="1" thickBot="1" x14ac:dyDescent="0.3">
      <c r="B188" s="1206" t="s">
        <v>64</v>
      </c>
      <c r="C188" s="1215" t="s">
        <v>557</v>
      </c>
      <c r="D188" s="673">
        <v>27302111</v>
      </c>
      <c r="E188" s="1207" t="s">
        <v>463</v>
      </c>
      <c r="F188" s="1200" t="s">
        <v>700</v>
      </c>
      <c r="G188" s="1200" t="s">
        <v>702</v>
      </c>
      <c r="H188" s="1207" t="s">
        <v>244</v>
      </c>
      <c r="I188" s="1207">
        <f>3220+24104+45264</f>
        <v>72588</v>
      </c>
      <c r="J188" s="1207" t="s">
        <v>462</v>
      </c>
      <c r="K188" s="1207">
        <f>3220+24104+45264</f>
        <v>72588</v>
      </c>
      <c r="L188" s="1207">
        <f>3220+24104+45264</f>
        <v>72588</v>
      </c>
      <c r="M188" s="542" t="s">
        <v>122</v>
      </c>
      <c r="N188" s="1248"/>
      <c r="O188" s="551">
        <f>O189+O190+O191</f>
        <v>10070.104499999999</v>
      </c>
      <c r="P188" s="551">
        <f>P189+P190+P191</f>
        <v>9947.6460000000006</v>
      </c>
      <c r="Q188" s="552">
        <f>Q189+Q190+Q191</f>
        <v>9958.1039999999994</v>
      </c>
      <c r="R188" s="48"/>
      <c r="S188" s="48"/>
      <c r="T188" s="48"/>
      <c r="U188" s="48"/>
      <c r="V188" s="48"/>
    </row>
    <row r="189" spans="2:22" ht="24.75" customHeight="1" thickBot="1" x14ac:dyDescent="0.3">
      <c r="B189" s="1204"/>
      <c r="C189" s="1192"/>
      <c r="D189" s="673"/>
      <c r="E189" s="1199"/>
      <c r="F189" s="1201"/>
      <c r="G189" s="1201"/>
      <c r="H189" s="1199"/>
      <c r="I189" s="1199"/>
      <c r="J189" s="1199"/>
      <c r="K189" s="1199"/>
      <c r="L189" s="1199"/>
      <c r="M189" s="636" t="s">
        <v>123</v>
      </c>
      <c r="N189" s="1249"/>
      <c r="O189" s="561">
        <v>0</v>
      </c>
      <c r="P189" s="562">
        <v>0</v>
      </c>
      <c r="Q189" s="550">
        <v>0</v>
      </c>
      <c r="R189" s="48"/>
      <c r="S189" s="48"/>
      <c r="T189" s="48"/>
      <c r="U189" s="48"/>
      <c r="V189" s="48"/>
    </row>
    <row r="190" spans="2:22" ht="25.5" customHeight="1" thickBot="1" x14ac:dyDescent="0.3">
      <c r="B190" s="1204"/>
      <c r="C190" s="1192"/>
      <c r="D190" s="673"/>
      <c r="E190" s="1199"/>
      <c r="F190" s="1201"/>
      <c r="G190" s="1201"/>
      <c r="H190" s="1199"/>
      <c r="I190" s="1199"/>
      <c r="J190" s="1199"/>
      <c r="K190" s="1199"/>
      <c r="L190" s="1199"/>
      <c r="M190" s="672" t="s">
        <v>124</v>
      </c>
      <c r="N190" s="1250"/>
      <c r="O190" s="551">
        <v>10070.104499999999</v>
      </c>
      <c r="P190" s="552">
        <v>9947.6460000000006</v>
      </c>
      <c r="Q190" s="549">
        <v>9958.1039999999994</v>
      </c>
      <c r="R190" s="48"/>
      <c r="S190" s="48"/>
      <c r="T190" s="48"/>
      <c r="U190" s="48"/>
      <c r="V190" s="48"/>
    </row>
    <row r="191" spans="2:22" ht="26.25" customHeight="1" thickBot="1" x14ac:dyDescent="0.3">
      <c r="B191" s="1205"/>
      <c r="C191" s="1216"/>
      <c r="D191" s="673"/>
      <c r="E191" s="1208"/>
      <c r="F191" s="1202"/>
      <c r="G191" s="1202"/>
      <c r="H191" s="1208"/>
      <c r="I191" s="1208"/>
      <c r="J191" s="1208"/>
      <c r="K191" s="1208"/>
      <c r="L191" s="1208"/>
      <c r="M191" s="547" t="s">
        <v>745</v>
      </c>
      <c r="N191" s="681"/>
      <c r="O191" s="557">
        <v>0</v>
      </c>
      <c r="P191" s="676">
        <v>0</v>
      </c>
      <c r="Q191" s="563">
        <v>0</v>
      </c>
      <c r="R191" s="48"/>
      <c r="S191" s="48"/>
      <c r="T191" s="48"/>
      <c r="U191" s="48"/>
      <c r="V191" s="48"/>
    </row>
    <row r="192" spans="2:22" ht="26.25" customHeight="1" thickBot="1" x14ac:dyDescent="0.3">
      <c r="B192" s="1206" t="s">
        <v>63</v>
      </c>
      <c r="C192" s="1215" t="s">
        <v>586</v>
      </c>
      <c r="D192" s="704">
        <v>27300363</v>
      </c>
      <c r="E192" s="1207" t="s">
        <v>192</v>
      </c>
      <c r="F192" s="1200" t="s">
        <v>901</v>
      </c>
      <c r="G192" s="1200" t="s">
        <v>902</v>
      </c>
      <c r="H192" s="1207" t="s">
        <v>241</v>
      </c>
      <c r="I192" s="1207">
        <v>224</v>
      </c>
      <c r="J192" s="1206" t="s">
        <v>753</v>
      </c>
      <c r="K192" s="1207" t="s">
        <v>116</v>
      </c>
      <c r="L192" s="1207" t="s">
        <v>116</v>
      </c>
      <c r="M192" s="542" t="s">
        <v>122</v>
      </c>
      <c r="N192" s="1248"/>
      <c r="O192" s="551">
        <f>O193+O194+O195</f>
        <v>2562.34</v>
      </c>
      <c r="P192" s="551">
        <f>P193+P194+P195</f>
        <v>0</v>
      </c>
      <c r="Q192" s="552">
        <f>Q193+Q194+Q195</f>
        <v>0</v>
      </c>
      <c r="R192" s="48"/>
      <c r="S192" s="48"/>
      <c r="T192" s="48"/>
      <c r="U192" s="48"/>
      <c r="V192" s="48"/>
    </row>
    <row r="193" spans="2:22" ht="26.25" customHeight="1" thickBot="1" x14ac:dyDescent="0.3">
      <c r="B193" s="1204"/>
      <c r="C193" s="1192"/>
      <c r="D193" s="674"/>
      <c r="E193" s="1199"/>
      <c r="F193" s="1201"/>
      <c r="G193" s="1201"/>
      <c r="H193" s="1199"/>
      <c r="I193" s="1199"/>
      <c r="J193" s="1204"/>
      <c r="K193" s="1199"/>
      <c r="L193" s="1199"/>
      <c r="M193" s="636" t="s">
        <v>123</v>
      </c>
      <c r="N193" s="1249"/>
      <c r="O193" s="561">
        <v>2562.34</v>
      </c>
      <c r="P193" s="562">
        <v>0</v>
      </c>
      <c r="Q193" s="550">
        <v>0</v>
      </c>
      <c r="R193" s="48"/>
      <c r="S193" s="48"/>
      <c r="T193" s="48"/>
      <c r="U193" s="48"/>
      <c r="V193" s="48"/>
    </row>
    <row r="194" spans="2:22" ht="26.25" customHeight="1" thickBot="1" x14ac:dyDescent="0.3">
      <c r="B194" s="1204"/>
      <c r="C194" s="1192"/>
      <c r="D194" s="674"/>
      <c r="E194" s="1199"/>
      <c r="F194" s="1201"/>
      <c r="G194" s="1201"/>
      <c r="H194" s="1199"/>
      <c r="I194" s="1199"/>
      <c r="J194" s="1204"/>
      <c r="K194" s="1199"/>
      <c r="L194" s="1199"/>
      <c r="M194" s="672" t="s">
        <v>124</v>
      </c>
      <c r="N194" s="1250"/>
      <c r="O194" s="551">
        <v>0</v>
      </c>
      <c r="P194" s="552">
        <v>0</v>
      </c>
      <c r="Q194" s="549">
        <v>0</v>
      </c>
      <c r="R194" s="48"/>
      <c r="S194" s="48"/>
      <c r="T194" s="48"/>
      <c r="U194" s="48"/>
      <c r="V194" s="48"/>
    </row>
    <row r="195" spans="2:22" ht="26.25" customHeight="1" thickBot="1" x14ac:dyDescent="0.3">
      <c r="B195" s="1205"/>
      <c r="C195" s="1216"/>
      <c r="D195" s="674"/>
      <c r="E195" s="1208"/>
      <c r="F195" s="1202"/>
      <c r="G195" s="1202"/>
      <c r="H195" s="1208"/>
      <c r="I195" s="1208"/>
      <c r="J195" s="1205"/>
      <c r="K195" s="1208"/>
      <c r="L195" s="1208"/>
      <c r="M195" s="547" t="s">
        <v>745</v>
      </c>
      <c r="N195" s="681"/>
      <c r="O195" s="557">
        <v>0</v>
      </c>
      <c r="P195" s="676">
        <v>0</v>
      </c>
      <c r="Q195" s="563">
        <v>0</v>
      </c>
      <c r="R195" s="48"/>
      <c r="S195" s="48"/>
      <c r="T195" s="48"/>
      <c r="U195" s="48"/>
      <c r="V195" s="48"/>
    </row>
    <row r="196" spans="2:22" ht="22.5" customHeight="1" thickBot="1" x14ac:dyDescent="0.3">
      <c r="B196" s="1206" t="s">
        <v>64</v>
      </c>
      <c r="C196" s="1215" t="s">
        <v>557</v>
      </c>
      <c r="D196" s="704">
        <v>27300364</v>
      </c>
      <c r="E196" s="1207" t="s">
        <v>192</v>
      </c>
      <c r="F196" s="1200" t="s">
        <v>635</v>
      </c>
      <c r="G196" s="1207" t="s">
        <v>116</v>
      </c>
      <c r="H196" s="1207" t="s">
        <v>116</v>
      </c>
      <c r="I196" s="1207" t="s">
        <v>116</v>
      </c>
      <c r="J196" s="1207" t="s">
        <v>462</v>
      </c>
      <c r="K196" s="1207" t="s">
        <v>116</v>
      </c>
      <c r="L196" s="1207" t="s">
        <v>116</v>
      </c>
      <c r="M196" s="542" t="s">
        <v>122</v>
      </c>
      <c r="N196" s="1248"/>
      <c r="O196" s="551">
        <f>O197+O198+O199</f>
        <v>512.77</v>
      </c>
      <c r="P196" s="551">
        <f>P197+P198+P199</f>
        <v>1528.03</v>
      </c>
      <c r="Q196" s="552">
        <f>Q197+Q198+Q199</f>
        <v>1143.28</v>
      </c>
      <c r="R196" s="48"/>
      <c r="S196" s="48"/>
      <c r="T196" s="48"/>
      <c r="U196" s="48"/>
      <c r="V196" s="48"/>
    </row>
    <row r="197" spans="2:22" ht="20.25" customHeight="1" thickBot="1" x14ac:dyDescent="0.3">
      <c r="B197" s="1204"/>
      <c r="C197" s="1192"/>
      <c r="D197" s="674"/>
      <c r="E197" s="1199"/>
      <c r="F197" s="1201"/>
      <c r="G197" s="1199"/>
      <c r="H197" s="1199"/>
      <c r="I197" s="1199"/>
      <c r="J197" s="1199"/>
      <c r="K197" s="1199"/>
      <c r="L197" s="1199"/>
      <c r="M197" s="636" t="s">
        <v>123</v>
      </c>
      <c r="N197" s="1249"/>
      <c r="O197" s="561">
        <v>0</v>
      </c>
      <c r="P197" s="562">
        <v>0</v>
      </c>
      <c r="Q197" s="550">
        <v>0</v>
      </c>
      <c r="R197" s="48"/>
      <c r="S197" s="48"/>
      <c r="T197" s="48"/>
      <c r="U197" s="48"/>
      <c r="V197" s="48"/>
    </row>
    <row r="198" spans="2:22" ht="28.5" customHeight="1" thickBot="1" x14ac:dyDescent="0.3">
      <c r="B198" s="1204"/>
      <c r="C198" s="1192"/>
      <c r="D198" s="674"/>
      <c r="E198" s="1199"/>
      <c r="F198" s="1201"/>
      <c r="G198" s="1199"/>
      <c r="H198" s="1199"/>
      <c r="I198" s="1199"/>
      <c r="J198" s="1199"/>
      <c r="K198" s="1199"/>
      <c r="L198" s="1199"/>
      <c r="M198" s="672" t="s">
        <v>124</v>
      </c>
      <c r="N198" s="1250"/>
      <c r="O198" s="551">
        <v>512.77</v>
      </c>
      <c r="P198" s="552">
        <v>1528.03</v>
      </c>
      <c r="Q198" s="549">
        <v>1143.28</v>
      </c>
      <c r="R198" s="48"/>
      <c r="S198" s="48"/>
      <c r="T198" s="48"/>
      <c r="U198" s="48"/>
      <c r="V198" s="48"/>
    </row>
    <row r="199" spans="2:22" ht="20.25" customHeight="1" thickBot="1" x14ac:dyDescent="0.3">
      <c r="B199" s="1205"/>
      <c r="C199" s="1216"/>
      <c r="D199" s="674"/>
      <c r="E199" s="1208"/>
      <c r="F199" s="1202"/>
      <c r="G199" s="1208"/>
      <c r="H199" s="1208"/>
      <c r="I199" s="1208"/>
      <c r="J199" s="1208"/>
      <c r="K199" s="1208"/>
      <c r="L199" s="1208"/>
      <c r="M199" s="547" t="s">
        <v>745</v>
      </c>
      <c r="N199" s="681"/>
      <c r="O199" s="557">
        <v>0</v>
      </c>
      <c r="P199" s="676">
        <v>0</v>
      </c>
      <c r="Q199" s="563">
        <v>0</v>
      </c>
      <c r="R199" s="48"/>
      <c r="S199" s="48"/>
      <c r="T199" s="48"/>
      <c r="U199" s="48"/>
      <c r="V199" s="48"/>
    </row>
    <row r="200" spans="2:22" ht="27" customHeight="1" thickBot="1" x14ac:dyDescent="0.3">
      <c r="B200" s="1206" t="s">
        <v>64</v>
      </c>
      <c r="C200" s="1207" t="s">
        <v>291</v>
      </c>
      <c r="D200" s="673" t="s">
        <v>116</v>
      </c>
      <c r="E200" s="1319" t="s">
        <v>116</v>
      </c>
      <c r="F200" s="1322" t="s">
        <v>77</v>
      </c>
      <c r="G200" s="1319" t="s">
        <v>116</v>
      </c>
      <c r="H200" s="1325" t="s">
        <v>116</v>
      </c>
      <c r="I200" s="1319" t="s">
        <v>116</v>
      </c>
      <c r="J200" s="1328" t="s">
        <v>462</v>
      </c>
      <c r="K200" s="1319" t="s">
        <v>116</v>
      </c>
      <c r="L200" s="1319" t="s">
        <v>116</v>
      </c>
      <c r="M200" s="750" t="s">
        <v>122</v>
      </c>
      <c r="N200" s="751"/>
      <c r="O200" s="752">
        <f>O201+O202</f>
        <v>100981.291</v>
      </c>
      <c r="P200" s="752">
        <f>P204+P208+P212+P220+P224+P228+P232+P236+P240+P252+P256+P260+P264+P268+P272+P276+P280+P284+P288+P292+P296+P300+P304+P308+P312+P316+P320+P324+P328</f>
        <v>169865.22</v>
      </c>
      <c r="Q200" s="753">
        <f>Q204+Q208+Q212+Q220+Q224+Q228+Q232+Q236+Q240+Q252+Q256+Q260+Q264+Q268+Q272+Q276+Q280+Q284+Q288+Q292+Q296+Q300+Q304+Q308+Q312+Q316+Q320+Q324+Q328</f>
        <v>94388.18</v>
      </c>
      <c r="R200" s="48">
        <v>100981.29</v>
      </c>
      <c r="S200" s="48">
        <v>169865.22</v>
      </c>
      <c r="T200" s="48">
        <v>94388.18</v>
      </c>
      <c r="U200" s="48"/>
      <c r="V200" s="48"/>
    </row>
    <row r="201" spans="2:22" ht="24" customHeight="1" thickBot="1" x14ac:dyDescent="0.3">
      <c r="B201" s="1204"/>
      <c r="C201" s="1199"/>
      <c r="D201" s="654"/>
      <c r="E201" s="1320"/>
      <c r="F201" s="1323"/>
      <c r="G201" s="1320"/>
      <c r="H201" s="1326"/>
      <c r="I201" s="1320"/>
      <c r="J201" s="1329"/>
      <c r="K201" s="1320"/>
      <c r="L201" s="1320"/>
      <c r="M201" s="754" t="s">
        <v>123</v>
      </c>
      <c r="N201" s="755"/>
      <c r="O201" s="752">
        <f t="shared" ref="O201:Q203" si="6">O205+O209+O213+O217+O221+O225+O229+O233+O237+O241+O253+O257+O261+O265+O269+O273+O277+O281+O285+O289+O293+O297+O301+O305+O313+O317+O321+O325+O329</f>
        <v>45733</v>
      </c>
      <c r="P201" s="752">
        <f t="shared" si="6"/>
        <v>0</v>
      </c>
      <c r="Q201" s="753">
        <f t="shared" si="6"/>
        <v>0</v>
      </c>
      <c r="R201" s="48">
        <v>45733</v>
      </c>
      <c r="S201" s="745">
        <f>R201-O201</f>
        <v>0</v>
      </c>
      <c r="T201" s="48"/>
      <c r="U201" s="48"/>
      <c r="V201" s="48"/>
    </row>
    <row r="202" spans="2:22" ht="23.25" customHeight="1" thickBot="1" x14ac:dyDescent="0.3">
      <c r="B202" s="1204"/>
      <c r="C202" s="1199"/>
      <c r="D202" s="555"/>
      <c r="E202" s="1320"/>
      <c r="F202" s="1323"/>
      <c r="G202" s="1320"/>
      <c r="H202" s="1326"/>
      <c r="I202" s="1320"/>
      <c r="J202" s="1329"/>
      <c r="K202" s="1320"/>
      <c r="L202" s="1320"/>
      <c r="M202" s="756" t="s">
        <v>124</v>
      </c>
      <c r="N202" s="757"/>
      <c r="O202" s="752">
        <f>O206+O210+O214+O218+O222+O226+O230+O234+O238+O242+O254+O258+O262+O266+O270+O274+O278+O282+O286+O290+O294+O298+O302+O306+O314+O318+O322+O326+O330+O250+O246</f>
        <v>55248.290999999997</v>
      </c>
      <c r="P202" s="752">
        <f t="shared" si="6"/>
        <v>169415.22</v>
      </c>
      <c r="Q202" s="753">
        <f t="shared" si="6"/>
        <v>94388.18</v>
      </c>
      <c r="R202" s="745">
        <f>R200-O200</f>
        <v>-1.0000000038417056E-3</v>
      </c>
      <c r="S202" s="745">
        <f>S200-P200</f>
        <v>0</v>
      </c>
      <c r="T202" s="745">
        <f>T200-Q200</f>
        <v>0</v>
      </c>
      <c r="U202" s="48"/>
      <c r="V202" s="48"/>
    </row>
    <row r="203" spans="2:22" ht="22.5" customHeight="1" thickBot="1" x14ac:dyDescent="0.3">
      <c r="B203" s="1241"/>
      <c r="C203" s="1208"/>
      <c r="D203" s="558"/>
      <c r="E203" s="1321"/>
      <c r="F203" s="1324"/>
      <c r="G203" s="1321"/>
      <c r="H203" s="1327"/>
      <c r="I203" s="1321"/>
      <c r="J203" s="1330"/>
      <c r="K203" s="1321"/>
      <c r="L203" s="1321"/>
      <c r="M203" s="758" t="s">
        <v>745</v>
      </c>
      <c r="N203" s="755"/>
      <c r="O203" s="759">
        <f t="shared" si="6"/>
        <v>18115.938730000002</v>
      </c>
      <c r="P203" s="759">
        <f t="shared" si="6"/>
        <v>0</v>
      </c>
      <c r="Q203" s="760">
        <f t="shared" si="6"/>
        <v>0</v>
      </c>
      <c r="R203" s="48"/>
      <c r="S203" s="48"/>
      <c r="T203" s="48"/>
      <c r="U203" s="48"/>
      <c r="V203" s="48"/>
    </row>
    <row r="204" spans="2:22" ht="42.75" customHeight="1" thickBot="1" x14ac:dyDescent="0.3">
      <c r="B204" s="1240" t="s">
        <v>64</v>
      </c>
      <c r="C204" s="1238" t="s">
        <v>291</v>
      </c>
      <c r="D204" s="555">
        <v>27302170</v>
      </c>
      <c r="E204" s="1236" t="s">
        <v>200</v>
      </c>
      <c r="F204" s="1234" t="s">
        <v>870</v>
      </c>
      <c r="G204" s="1234"/>
      <c r="H204" s="1312"/>
      <c r="I204" s="1236"/>
      <c r="J204" s="1207"/>
      <c r="K204" s="1206"/>
      <c r="L204" s="1206"/>
      <c r="M204" s="542" t="s">
        <v>122</v>
      </c>
      <c r="N204" s="1248"/>
      <c r="O204" s="551">
        <f>O205+O206</f>
        <v>0</v>
      </c>
      <c r="P204" s="551">
        <f>P205+P206</f>
        <v>135054.81</v>
      </c>
      <c r="Q204" s="552">
        <f>Q205+Q206</f>
        <v>48812.77</v>
      </c>
      <c r="R204" s="48">
        <v>1</v>
      </c>
      <c r="S204" s="48">
        <v>1</v>
      </c>
      <c r="T204" s="48"/>
      <c r="U204" s="48"/>
      <c r="V204" s="48"/>
    </row>
    <row r="205" spans="2:22" ht="44.25" customHeight="1" thickBot="1" x14ac:dyDescent="0.3">
      <c r="B205" s="1204"/>
      <c r="C205" s="1192"/>
      <c r="D205" s="555"/>
      <c r="E205" s="1199"/>
      <c r="F205" s="1201"/>
      <c r="G205" s="1201"/>
      <c r="H205" s="1209"/>
      <c r="I205" s="1199"/>
      <c r="J205" s="1199"/>
      <c r="K205" s="1204"/>
      <c r="L205" s="1204"/>
      <c r="M205" s="636" t="s">
        <v>123</v>
      </c>
      <c r="N205" s="1249"/>
      <c r="O205" s="561">
        <v>0</v>
      </c>
      <c r="P205" s="562">
        <v>0</v>
      </c>
      <c r="Q205" s="550">
        <v>0</v>
      </c>
      <c r="R205" s="48"/>
      <c r="S205" s="48"/>
      <c r="T205" s="48"/>
      <c r="U205" s="48"/>
      <c r="V205" s="48"/>
    </row>
    <row r="206" spans="2:22" ht="22.5" customHeight="1" thickBot="1" x14ac:dyDescent="0.3">
      <c r="B206" s="1204"/>
      <c r="C206" s="1192"/>
      <c r="D206" s="555"/>
      <c r="E206" s="1199"/>
      <c r="F206" s="1201"/>
      <c r="G206" s="1201"/>
      <c r="H206" s="1209"/>
      <c r="I206" s="1199"/>
      <c r="J206" s="1199"/>
      <c r="K206" s="1204"/>
      <c r="L206" s="1204"/>
      <c r="M206" s="672" t="s">
        <v>124</v>
      </c>
      <c r="N206" s="1250"/>
      <c r="O206" s="551">
        <v>0</v>
      </c>
      <c r="P206" s="552">
        <v>135054.81</v>
      </c>
      <c r="Q206" s="549">
        <v>48812.77</v>
      </c>
      <c r="R206" s="48"/>
      <c r="S206" s="48"/>
      <c r="T206" s="48"/>
      <c r="U206" s="48"/>
      <c r="V206" s="48"/>
    </row>
    <row r="207" spans="2:22" ht="25.5" customHeight="1" thickBot="1" x14ac:dyDescent="0.3">
      <c r="B207" s="1241"/>
      <c r="C207" s="1239"/>
      <c r="D207" s="555"/>
      <c r="E207" s="1237"/>
      <c r="F207" s="1235"/>
      <c r="G207" s="1235"/>
      <c r="H207" s="1291"/>
      <c r="I207" s="1237"/>
      <c r="J207" s="1208"/>
      <c r="K207" s="1204"/>
      <c r="L207" s="1204"/>
      <c r="M207" s="547" t="s">
        <v>745</v>
      </c>
      <c r="N207" s="681"/>
      <c r="O207" s="557">
        <v>0</v>
      </c>
      <c r="P207" s="676">
        <v>0</v>
      </c>
      <c r="Q207" s="563">
        <v>0</v>
      </c>
      <c r="R207" s="48"/>
      <c r="S207" s="48"/>
      <c r="T207" s="48"/>
      <c r="U207" s="48"/>
      <c r="V207" s="48"/>
    </row>
    <row r="208" spans="2:22" ht="16.5" thickBot="1" x14ac:dyDescent="0.3">
      <c r="B208" s="1240" t="s">
        <v>64</v>
      </c>
      <c r="C208" s="1238" t="s">
        <v>291</v>
      </c>
      <c r="D208" s="555">
        <v>27302170</v>
      </c>
      <c r="E208" s="1236" t="s">
        <v>200</v>
      </c>
      <c r="F208" s="1234" t="s">
        <v>760</v>
      </c>
      <c r="G208" s="1234" t="s">
        <v>190</v>
      </c>
      <c r="H208" s="1312" t="s">
        <v>240</v>
      </c>
      <c r="I208" s="1236">
        <v>1</v>
      </c>
      <c r="J208" s="1207" t="s">
        <v>462</v>
      </c>
      <c r="K208" s="1206" t="s">
        <v>199</v>
      </c>
      <c r="L208" s="1206" t="s">
        <v>199</v>
      </c>
      <c r="M208" s="542" t="s">
        <v>122</v>
      </c>
      <c r="N208" s="1248"/>
      <c r="O208" s="551">
        <f>O209+O210</f>
        <v>0</v>
      </c>
      <c r="P208" s="551">
        <f>P209+P210</f>
        <v>0</v>
      </c>
      <c r="Q208" s="552">
        <f>Q209+Q210</f>
        <v>0</v>
      </c>
      <c r="R208" s="48"/>
      <c r="S208" s="48"/>
      <c r="T208" s="48"/>
      <c r="U208" s="48"/>
      <c r="V208" s="48"/>
    </row>
    <row r="209" spans="2:22" ht="16.5" thickBot="1" x14ac:dyDescent="0.3">
      <c r="B209" s="1204"/>
      <c r="C209" s="1192"/>
      <c r="D209" s="555"/>
      <c r="E209" s="1199"/>
      <c r="F209" s="1201"/>
      <c r="G209" s="1201"/>
      <c r="H209" s="1209"/>
      <c r="I209" s="1199"/>
      <c r="J209" s="1199"/>
      <c r="K209" s="1204"/>
      <c r="L209" s="1204"/>
      <c r="M209" s="636" t="s">
        <v>123</v>
      </c>
      <c r="N209" s="1249"/>
      <c r="O209" s="561">
        <v>0</v>
      </c>
      <c r="P209" s="562">
        <v>0</v>
      </c>
      <c r="Q209" s="550">
        <v>0</v>
      </c>
      <c r="R209" s="48"/>
      <c r="S209" s="48"/>
      <c r="T209" s="48"/>
      <c r="U209" s="48"/>
      <c r="V209" s="48"/>
    </row>
    <row r="210" spans="2:22" ht="18.75" customHeight="1" thickBot="1" x14ac:dyDescent="0.3">
      <c r="B210" s="1204"/>
      <c r="C210" s="1192"/>
      <c r="D210" s="555"/>
      <c r="E210" s="1199"/>
      <c r="F210" s="1201"/>
      <c r="G210" s="1201"/>
      <c r="H210" s="1209"/>
      <c r="I210" s="1199"/>
      <c r="J210" s="1199"/>
      <c r="K210" s="1204"/>
      <c r="L210" s="1204"/>
      <c r="M210" s="672" t="s">
        <v>124</v>
      </c>
      <c r="N210" s="1250"/>
      <c r="O210" s="551">
        <v>0</v>
      </c>
      <c r="P210" s="552">
        <v>0</v>
      </c>
      <c r="Q210" s="549">
        <v>0</v>
      </c>
      <c r="R210" s="48"/>
      <c r="S210" s="48"/>
      <c r="T210" s="48"/>
      <c r="U210" s="48"/>
      <c r="V210" s="48"/>
    </row>
    <row r="211" spans="2:22" ht="21" customHeight="1" thickBot="1" x14ac:dyDescent="0.3">
      <c r="B211" s="1241"/>
      <c r="C211" s="1239"/>
      <c r="D211" s="555"/>
      <c r="E211" s="1237"/>
      <c r="F211" s="1235"/>
      <c r="G211" s="1235"/>
      <c r="H211" s="1291"/>
      <c r="I211" s="1237"/>
      <c r="J211" s="1208"/>
      <c r="K211" s="1204"/>
      <c r="L211" s="1204"/>
      <c r="M211" s="547" t="s">
        <v>745</v>
      </c>
      <c r="N211" s="681"/>
      <c r="O211" s="557">
        <v>645.16999999999996</v>
      </c>
      <c r="P211" s="676">
        <v>0</v>
      </c>
      <c r="Q211" s="563">
        <v>0</v>
      </c>
      <c r="R211" s="48"/>
      <c r="S211" s="48"/>
      <c r="T211" s="48"/>
      <c r="U211" s="48"/>
      <c r="V211" s="48"/>
    </row>
    <row r="212" spans="2:22" ht="27" customHeight="1" thickBot="1" x14ac:dyDescent="0.3">
      <c r="B212" s="1240" t="s">
        <v>64</v>
      </c>
      <c r="C212" s="1238" t="s">
        <v>291</v>
      </c>
      <c r="D212" s="555">
        <v>27302170</v>
      </c>
      <c r="E212" s="1236" t="s">
        <v>200</v>
      </c>
      <c r="F212" s="1234" t="s">
        <v>849</v>
      </c>
      <c r="G212" s="1234" t="s">
        <v>190</v>
      </c>
      <c r="H212" s="1312" t="s">
        <v>240</v>
      </c>
      <c r="I212" s="1236">
        <v>1</v>
      </c>
      <c r="J212" s="1207" t="s">
        <v>462</v>
      </c>
      <c r="K212" s="1206" t="s">
        <v>199</v>
      </c>
      <c r="L212" s="1206" t="s">
        <v>199</v>
      </c>
      <c r="M212" s="542" t="s">
        <v>122</v>
      </c>
      <c r="N212" s="1248"/>
      <c r="O212" s="551">
        <f>O213+O214</f>
        <v>0</v>
      </c>
      <c r="P212" s="551">
        <f>P213+P214</f>
        <v>0</v>
      </c>
      <c r="Q212" s="552">
        <f>Q213+Q214</f>
        <v>0</v>
      </c>
      <c r="R212" s="48"/>
      <c r="S212" s="48"/>
      <c r="T212" s="48"/>
      <c r="U212" s="48"/>
      <c r="V212" s="48"/>
    </row>
    <row r="213" spans="2:22" ht="29.25" customHeight="1" thickBot="1" x14ac:dyDescent="0.3">
      <c r="B213" s="1204"/>
      <c r="C213" s="1192"/>
      <c r="D213" s="555"/>
      <c r="E213" s="1199"/>
      <c r="F213" s="1201"/>
      <c r="G213" s="1201"/>
      <c r="H213" s="1209"/>
      <c r="I213" s="1199"/>
      <c r="J213" s="1199"/>
      <c r="K213" s="1204"/>
      <c r="L213" s="1204"/>
      <c r="M213" s="636" t="s">
        <v>123</v>
      </c>
      <c r="N213" s="1249"/>
      <c r="O213" s="561">
        <v>0</v>
      </c>
      <c r="P213" s="562">
        <v>0</v>
      </c>
      <c r="Q213" s="550">
        <v>0</v>
      </c>
      <c r="R213" s="48"/>
      <c r="S213" s="48"/>
      <c r="T213" s="48"/>
      <c r="U213" s="48"/>
      <c r="V213" s="48"/>
    </row>
    <row r="214" spans="2:22" ht="24" customHeight="1" thickBot="1" x14ac:dyDescent="0.3">
      <c r="B214" s="1204"/>
      <c r="C214" s="1192"/>
      <c r="D214" s="555"/>
      <c r="E214" s="1199"/>
      <c r="F214" s="1201"/>
      <c r="G214" s="1201"/>
      <c r="H214" s="1209"/>
      <c r="I214" s="1199"/>
      <c r="J214" s="1199"/>
      <c r="K214" s="1204"/>
      <c r="L214" s="1204"/>
      <c r="M214" s="672" t="s">
        <v>124</v>
      </c>
      <c r="N214" s="1250"/>
      <c r="O214" s="551">
        <v>0</v>
      </c>
      <c r="P214" s="552">
        <v>0</v>
      </c>
      <c r="Q214" s="549">
        <v>0</v>
      </c>
      <c r="R214" s="48"/>
      <c r="S214" s="48"/>
      <c r="T214" s="48"/>
      <c r="U214" s="48"/>
      <c r="V214" s="48"/>
    </row>
    <row r="215" spans="2:22" ht="24" customHeight="1" thickBot="1" x14ac:dyDescent="0.3">
      <c r="B215" s="1241"/>
      <c r="C215" s="1239"/>
      <c r="D215" s="555"/>
      <c r="E215" s="1237"/>
      <c r="F215" s="1235"/>
      <c r="G215" s="1235"/>
      <c r="H215" s="1291"/>
      <c r="I215" s="1237"/>
      <c r="J215" s="1208"/>
      <c r="K215" s="1204"/>
      <c r="L215" s="1204"/>
      <c r="M215" s="547" t="s">
        <v>745</v>
      </c>
      <c r="N215" s="681"/>
      <c r="O215" s="557">
        <v>2062.09</v>
      </c>
      <c r="P215" s="676">
        <v>0</v>
      </c>
      <c r="Q215" s="563">
        <v>0</v>
      </c>
      <c r="R215" s="48"/>
      <c r="S215" s="48"/>
      <c r="T215" s="48"/>
      <c r="U215" s="48"/>
      <c r="V215" s="48"/>
    </row>
    <row r="216" spans="2:22" ht="30" customHeight="1" thickBot="1" x14ac:dyDescent="0.3">
      <c r="B216" s="1240" t="s">
        <v>64</v>
      </c>
      <c r="C216" s="1238" t="s">
        <v>291</v>
      </c>
      <c r="D216" s="555">
        <v>27302170</v>
      </c>
      <c r="E216" s="1236" t="s">
        <v>200</v>
      </c>
      <c r="F216" s="1234" t="s">
        <v>752</v>
      </c>
      <c r="G216" s="1234" t="s">
        <v>190</v>
      </c>
      <c r="H216" s="1312" t="s">
        <v>240</v>
      </c>
      <c r="I216" s="1236">
        <v>1</v>
      </c>
      <c r="J216" s="1207" t="s">
        <v>462</v>
      </c>
      <c r="K216" s="1206" t="s">
        <v>199</v>
      </c>
      <c r="L216" s="1206" t="s">
        <v>199</v>
      </c>
      <c r="M216" s="542" t="s">
        <v>122</v>
      </c>
      <c r="N216" s="1248"/>
      <c r="O216" s="551">
        <f>O217+O218</f>
        <v>0</v>
      </c>
      <c r="P216" s="551">
        <f>P217+P218</f>
        <v>0</v>
      </c>
      <c r="Q216" s="552">
        <f>Q217+Q218</f>
        <v>0</v>
      </c>
      <c r="R216" s="48"/>
      <c r="S216" s="48"/>
      <c r="T216" s="48"/>
      <c r="U216" s="48"/>
      <c r="V216" s="48"/>
    </row>
    <row r="217" spans="2:22" ht="21" customHeight="1" thickBot="1" x14ac:dyDescent="0.3">
      <c r="B217" s="1204"/>
      <c r="C217" s="1192"/>
      <c r="D217" s="555"/>
      <c r="E217" s="1199"/>
      <c r="F217" s="1201"/>
      <c r="G217" s="1201"/>
      <c r="H217" s="1209"/>
      <c r="I217" s="1199"/>
      <c r="J217" s="1199"/>
      <c r="K217" s="1204"/>
      <c r="L217" s="1204"/>
      <c r="M217" s="636" t="s">
        <v>123</v>
      </c>
      <c r="N217" s="1249"/>
      <c r="O217" s="561">
        <v>0</v>
      </c>
      <c r="P217" s="562">
        <v>0</v>
      </c>
      <c r="Q217" s="550">
        <v>0</v>
      </c>
      <c r="R217" s="48"/>
      <c r="S217" s="48"/>
      <c r="T217" s="48"/>
      <c r="U217" s="48"/>
      <c r="V217" s="48"/>
    </row>
    <row r="218" spans="2:22" ht="23.25" customHeight="1" thickBot="1" x14ac:dyDescent="0.3">
      <c r="B218" s="1204"/>
      <c r="C218" s="1192"/>
      <c r="D218" s="555"/>
      <c r="E218" s="1199"/>
      <c r="F218" s="1201"/>
      <c r="G218" s="1201"/>
      <c r="H218" s="1209"/>
      <c r="I218" s="1199"/>
      <c r="J218" s="1199"/>
      <c r="K218" s="1204"/>
      <c r="L218" s="1204"/>
      <c r="M218" s="672" t="s">
        <v>124</v>
      </c>
      <c r="N218" s="1250"/>
      <c r="O218" s="551">
        <v>0</v>
      </c>
      <c r="P218" s="552">
        <v>0</v>
      </c>
      <c r="Q218" s="549">
        <v>0</v>
      </c>
      <c r="R218" s="48"/>
      <c r="S218" s="48"/>
      <c r="T218" s="48"/>
      <c r="U218" s="48"/>
      <c r="V218" s="48"/>
    </row>
    <row r="219" spans="2:22" ht="21.75" customHeight="1" thickBot="1" x14ac:dyDescent="0.3">
      <c r="B219" s="1241"/>
      <c r="C219" s="1239"/>
      <c r="D219" s="555"/>
      <c r="E219" s="1237"/>
      <c r="F219" s="1235"/>
      <c r="G219" s="1235"/>
      <c r="H219" s="1291"/>
      <c r="I219" s="1237"/>
      <c r="J219" s="1208"/>
      <c r="K219" s="1204"/>
      <c r="L219" s="1204"/>
      <c r="M219" s="547" t="s">
        <v>745</v>
      </c>
      <c r="N219" s="681"/>
      <c r="O219" s="557">
        <v>100</v>
      </c>
      <c r="P219" s="676">
        <v>0</v>
      </c>
      <c r="Q219" s="563">
        <v>0</v>
      </c>
      <c r="R219" s="48"/>
      <c r="S219" s="48"/>
      <c r="T219" s="48"/>
      <c r="U219" s="48"/>
      <c r="V219" s="48"/>
    </row>
    <row r="220" spans="2:22" ht="24.75" customHeight="1" thickBot="1" x14ac:dyDescent="0.3">
      <c r="B220" s="1240" t="s">
        <v>64</v>
      </c>
      <c r="C220" s="1238" t="s">
        <v>291</v>
      </c>
      <c r="D220" s="555">
        <v>27302170</v>
      </c>
      <c r="E220" s="1236" t="s">
        <v>200</v>
      </c>
      <c r="F220" s="1234" t="s">
        <v>848</v>
      </c>
      <c r="G220" s="1234" t="s">
        <v>190</v>
      </c>
      <c r="H220" s="1312" t="s">
        <v>240</v>
      </c>
      <c r="I220" s="1236">
        <v>1</v>
      </c>
      <c r="J220" s="1207" t="s">
        <v>462</v>
      </c>
      <c r="K220" s="1206" t="s">
        <v>199</v>
      </c>
      <c r="L220" s="1206" t="s">
        <v>199</v>
      </c>
      <c r="M220" s="542" t="s">
        <v>122</v>
      </c>
      <c r="N220" s="1248"/>
      <c r="O220" s="551">
        <f>O221+O222</f>
        <v>0</v>
      </c>
      <c r="P220" s="551">
        <f>P221+P222</f>
        <v>0</v>
      </c>
      <c r="Q220" s="552">
        <f>Q221+Q222</f>
        <v>0</v>
      </c>
      <c r="R220" s="48"/>
      <c r="S220" s="48"/>
      <c r="T220" s="48"/>
      <c r="U220" s="48"/>
      <c r="V220" s="48"/>
    </row>
    <row r="221" spans="2:22" ht="25.5" customHeight="1" thickBot="1" x14ac:dyDescent="0.3">
      <c r="B221" s="1204"/>
      <c r="C221" s="1192"/>
      <c r="D221" s="555"/>
      <c r="E221" s="1199"/>
      <c r="F221" s="1201"/>
      <c r="G221" s="1201"/>
      <c r="H221" s="1209"/>
      <c r="I221" s="1199"/>
      <c r="J221" s="1199"/>
      <c r="K221" s="1204"/>
      <c r="L221" s="1204"/>
      <c r="M221" s="636" t="s">
        <v>123</v>
      </c>
      <c r="N221" s="1249"/>
      <c r="O221" s="561">
        <v>0</v>
      </c>
      <c r="P221" s="562">
        <v>0</v>
      </c>
      <c r="Q221" s="550">
        <v>0</v>
      </c>
      <c r="R221" s="48"/>
      <c r="S221" s="48"/>
      <c r="T221" s="48"/>
      <c r="U221" s="48"/>
      <c r="V221" s="48"/>
    </row>
    <row r="222" spans="2:22" ht="27" customHeight="1" thickBot="1" x14ac:dyDescent="0.3">
      <c r="B222" s="1204"/>
      <c r="C222" s="1192"/>
      <c r="D222" s="555"/>
      <c r="E222" s="1199"/>
      <c r="F222" s="1201"/>
      <c r="G222" s="1201"/>
      <c r="H222" s="1209"/>
      <c r="I222" s="1199"/>
      <c r="J222" s="1199"/>
      <c r="K222" s="1204"/>
      <c r="L222" s="1204"/>
      <c r="M222" s="672" t="s">
        <v>124</v>
      </c>
      <c r="N222" s="1250"/>
      <c r="O222" s="551">
        <v>0</v>
      </c>
      <c r="P222" s="552">
        <v>0</v>
      </c>
      <c r="Q222" s="549">
        <v>0</v>
      </c>
      <c r="R222" s="48"/>
      <c r="S222" s="48"/>
      <c r="T222" s="48"/>
      <c r="U222" s="48"/>
      <c r="V222" s="48"/>
    </row>
    <row r="223" spans="2:22" ht="20.25" customHeight="1" thickBot="1" x14ac:dyDescent="0.3">
      <c r="B223" s="1241"/>
      <c r="C223" s="1239"/>
      <c r="D223" s="555"/>
      <c r="E223" s="1237"/>
      <c r="F223" s="1235"/>
      <c r="G223" s="1235"/>
      <c r="H223" s="1291"/>
      <c r="I223" s="1237"/>
      <c r="J223" s="1208"/>
      <c r="K223" s="1204"/>
      <c r="L223" s="1204"/>
      <c r="M223" s="547" t="s">
        <v>745</v>
      </c>
      <c r="N223" s="681"/>
      <c r="O223" s="557">
        <v>3400</v>
      </c>
      <c r="P223" s="676">
        <v>0</v>
      </c>
      <c r="Q223" s="563">
        <v>0</v>
      </c>
      <c r="R223" s="48"/>
      <c r="S223" s="48"/>
      <c r="T223" s="48"/>
      <c r="U223" s="48"/>
      <c r="V223" s="48"/>
    </row>
    <row r="224" spans="2:22" ht="24.75" customHeight="1" thickBot="1" x14ac:dyDescent="0.3">
      <c r="B224" s="1240" t="s">
        <v>64</v>
      </c>
      <c r="C224" s="1238" t="s">
        <v>291</v>
      </c>
      <c r="D224" s="555">
        <v>27302170</v>
      </c>
      <c r="E224" s="1236" t="s">
        <v>200</v>
      </c>
      <c r="F224" s="1234" t="s">
        <v>840</v>
      </c>
      <c r="G224" s="1234" t="s">
        <v>841</v>
      </c>
      <c r="H224" s="1312" t="s">
        <v>240</v>
      </c>
      <c r="I224" s="1236">
        <v>1</v>
      </c>
      <c r="J224" s="1207" t="s">
        <v>462</v>
      </c>
      <c r="K224" s="1206" t="s">
        <v>199</v>
      </c>
      <c r="L224" s="1206" t="s">
        <v>199</v>
      </c>
      <c r="M224" s="542" t="s">
        <v>122</v>
      </c>
      <c r="N224" s="1248"/>
      <c r="O224" s="551">
        <f>O225+O226</f>
        <v>0</v>
      </c>
      <c r="P224" s="551">
        <f>P225+P226</f>
        <v>0</v>
      </c>
      <c r="Q224" s="552">
        <f>Q225+Q226</f>
        <v>0</v>
      </c>
      <c r="R224" s="48"/>
      <c r="S224" s="48"/>
      <c r="T224" s="48"/>
      <c r="U224" s="48"/>
      <c r="V224" s="48"/>
    </row>
    <row r="225" spans="2:22" ht="24.75" customHeight="1" thickBot="1" x14ac:dyDescent="0.3">
      <c r="B225" s="1204"/>
      <c r="C225" s="1192"/>
      <c r="D225" s="555"/>
      <c r="E225" s="1199"/>
      <c r="F225" s="1201"/>
      <c r="G225" s="1201"/>
      <c r="H225" s="1209"/>
      <c r="I225" s="1199"/>
      <c r="J225" s="1199"/>
      <c r="K225" s="1204"/>
      <c r="L225" s="1204"/>
      <c r="M225" s="636" t="s">
        <v>123</v>
      </c>
      <c r="N225" s="1249"/>
      <c r="O225" s="561">
        <v>0</v>
      </c>
      <c r="P225" s="562">
        <v>0</v>
      </c>
      <c r="Q225" s="550">
        <v>0</v>
      </c>
      <c r="R225" s="48"/>
      <c r="S225" s="48"/>
      <c r="T225" s="48"/>
      <c r="U225" s="48"/>
      <c r="V225" s="48"/>
    </row>
    <row r="226" spans="2:22" ht="24.75" customHeight="1" thickBot="1" x14ac:dyDescent="0.3">
      <c r="B226" s="1204"/>
      <c r="C226" s="1192"/>
      <c r="D226" s="555"/>
      <c r="E226" s="1199"/>
      <c r="F226" s="1201"/>
      <c r="G226" s="1201"/>
      <c r="H226" s="1209"/>
      <c r="I226" s="1199"/>
      <c r="J226" s="1199"/>
      <c r="K226" s="1204"/>
      <c r="L226" s="1204"/>
      <c r="M226" s="672" t="s">
        <v>124</v>
      </c>
      <c r="N226" s="1250"/>
      <c r="O226" s="551">
        <v>0</v>
      </c>
      <c r="P226" s="552">
        <v>0</v>
      </c>
      <c r="Q226" s="549">
        <v>0</v>
      </c>
      <c r="R226" s="48"/>
      <c r="S226" s="48"/>
      <c r="T226" s="48"/>
      <c r="U226" s="48"/>
      <c r="V226" s="48"/>
    </row>
    <row r="227" spans="2:22" ht="30" customHeight="1" thickBot="1" x14ac:dyDescent="0.3">
      <c r="B227" s="1241"/>
      <c r="C227" s="1239"/>
      <c r="D227" s="555"/>
      <c r="E227" s="1237"/>
      <c r="F227" s="1235"/>
      <c r="G227" s="1235"/>
      <c r="H227" s="1291"/>
      <c r="I227" s="1237"/>
      <c r="J227" s="1208"/>
      <c r="K227" s="1204"/>
      <c r="L227" s="1204"/>
      <c r="M227" s="547" t="s">
        <v>745</v>
      </c>
      <c r="N227" s="681"/>
      <c r="O227" s="557">
        <v>2436.3980000000001</v>
      </c>
      <c r="P227" s="676">
        <v>0</v>
      </c>
      <c r="Q227" s="563">
        <v>0</v>
      </c>
      <c r="R227" s="48"/>
      <c r="S227" s="48"/>
      <c r="T227" s="48"/>
      <c r="U227" s="48"/>
      <c r="V227" s="48"/>
    </row>
    <row r="228" spans="2:22" s="48" customFormat="1" ht="30" customHeight="1" thickBot="1" x14ac:dyDescent="0.3">
      <c r="B228" s="1240" t="s">
        <v>64</v>
      </c>
      <c r="C228" s="1238" t="s">
        <v>291</v>
      </c>
      <c r="D228" s="555">
        <v>27302170</v>
      </c>
      <c r="E228" s="1236" t="s">
        <v>200</v>
      </c>
      <c r="F228" s="1234" t="s">
        <v>750</v>
      </c>
      <c r="G228" s="1234" t="s">
        <v>190</v>
      </c>
      <c r="H228" s="1312" t="s">
        <v>240</v>
      </c>
      <c r="I228" s="1236">
        <v>1</v>
      </c>
      <c r="J228" s="1207" t="s">
        <v>462</v>
      </c>
      <c r="K228" s="1206" t="s">
        <v>199</v>
      </c>
      <c r="L228" s="1206" t="s">
        <v>199</v>
      </c>
      <c r="M228" s="542" t="s">
        <v>122</v>
      </c>
      <c r="N228" s="1248"/>
      <c r="O228" s="551">
        <f>O229+O230</f>
        <v>0</v>
      </c>
      <c r="P228" s="551">
        <f>P229+P230</f>
        <v>0</v>
      </c>
      <c r="Q228" s="552">
        <f>Q229+Q230</f>
        <v>0</v>
      </c>
    </row>
    <row r="229" spans="2:22" s="48" customFormat="1" ht="30" customHeight="1" thickBot="1" x14ac:dyDescent="0.3">
      <c r="B229" s="1204"/>
      <c r="C229" s="1192"/>
      <c r="D229" s="555"/>
      <c r="E229" s="1199"/>
      <c r="F229" s="1201"/>
      <c r="G229" s="1201"/>
      <c r="H229" s="1209"/>
      <c r="I229" s="1199"/>
      <c r="J229" s="1199"/>
      <c r="K229" s="1204"/>
      <c r="L229" s="1204"/>
      <c r="M229" s="636" t="s">
        <v>123</v>
      </c>
      <c r="N229" s="1249"/>
      <c r="O229" s="561">
        <v>0</v>
      </c>
      <c r="P229" s="562">
        <v>0</v>
      </c>
      <c r="Q229" s="550">
        <v>0</v>
      </c>
    </row>
    <row r="230" spans="2:22" s="48" customFormat="1" ht="27" customHeight="1" thickBot="1" x14ac:dyDescent="0.3">
      <c r="B230" s="1204"/>
      <c r="C230" s="1192"/>
      <c r="D230" s="555"/>
      <c r="E230" s="1199"/>
      <c r="F230" s="1201"/>
      <c r="G230" s="1201"/>
      <c r="H230" s="1209"/>
      <c r="I230" s="1199"/>
      <c r="J230" s="1199"/>
      <c r="K230" s="1204"/>
      <c r="L230" s="1204"/>
      <c r="M230" s="672" t="s">
        <v>124</v>
      </c>
      <c r="N230" s="1250"/>
      <c r="O230" s="551">
        <v>0</v>
      </c>
      <c r="P230" s="552">
        <v>0</v>
      </c>
      <c r="Q230" s="549">
        <v>0</v>
      </c>
    </row>
    <row r="231" spans="2:22" s="48" customFormat="1" ht="23.25" customHeight="1" thickBot="1" x14ac:dyDescent="0.3">
      <c r="B231" s="1241"/>
      <c r="C231" s="1239"/>
      <c r="D231" s="555"/>
      <c r="E231" s="1237"/>
      <c r="F231" s="1235"/>
      <c r="G231" s="1235"/>
      <c r="H231" s="1291"/>
      <c r="I231" s="1237"/>
      <c r="J231" s="1208"/>
      <c r="K231" s="1204"/>
      <c r="L231" s="1204"/>
      <c r="M231" s="547" t="s">
        <v>745</v>
      </c>
      <c r="N231" s="681"/>
      <c r="O231" s="557">
        <v>370.81</v>
      </c>
      <c r="P231" s="676">
        <v>0</v>
      </c>
      <c r="Q231" s="563">
        <v>0</v>
      </c>
    </row>
    <row r="232" spans="2:22" s="48" customFormat="1" ht="81" customHeight="1" thickBot="1" x14ac:dyDescent="0.3">
      <c r="B232" s="1240" t="s">
        <v>64</v>
      </c>
      <c r="C232" s="1238" t="s">
        <v>291</v>
      </c>
      <c r="D232" s="555">
        <v>27302170</v>
      </c>
      <c r="E232" s="1236" t="s">
        <v>204</v>
      </c>
      <c r="F232" s="1234" t="s">
        <v>903</v>
      </c>
      <c r="G232" s="1234" t="s">
        <v>190</v>
      </c>
      <c r="H232" s="1312" t="s">
        <v>240</v>
      </c>
      <c r="I232" s="1236">
        <v>1</v>
      </c>
      <c r="J232" s="1207" t="s">
        <v>462</v>
      </c>
      <c r="K232" s="1206" t="s">
        <v>199</v>
      </c>
      <c r="L232" s="1206" t="s">
        <v>199</v>
      </c>
      <c r="M232" s="542" t="s">
        <v>122</v>
      </c>
      <c r="N232" s="1248"/>
      <c r="O232" s="551">
        <f>O233+O234</f>
        <v>1086.8499999999999</v>
      </c>
      <c r="P232" s="551">
        <f>P233+P234</f>
        <v>0</v>
      </c>
      <c r="Q232" s="552">
        <f>Q233+Q234</f>
        <v>0</v>
      </c>
    </row>
    <row r="233" spans="2:22" s="48" customFormat="1" ht="48.75" customHeight="1" thickBot="1" x14ac:dyDescent="0.3">
      <c r="B233" s="1204"/>
      <c r="C233" s="1192"/>
      <c r="D233" s="555"/>
      <c r="E233" s="1199"/>
      <c r="F233" s="1201"/>
      <c r="G233" s="1201"/>
      <c r="H233" s="1209"/>
      <c r="I233" s="1199"/>
      <c r="J233" s="1199"/>
      <c r="K233" s="1204"/>
      <c r="L233" s="1204"/>
      <c r="M233" s="636" t="s">
        <v>123</v>
      </c>
      <c r="N233" s="1249"/>
      <c r="O233" s="561">
        <v>0</v>
      </c>
      <c r="P233" s="562">
        <v>0</v>
      </c>
      <c r="Q233" s="550">
        <v>0</v>
      </c>
    </row>
    <row r="234" spans="2:22" ht="38.25" customHeight="1" thickBot="1" x14ac:dyDescent="0.3">
      <c r="B234" s="1204"/>
      <c r="C234" s="1192"/>
      <c r="D234" s="555"/>
      <c r="E234" s="1199"/>
      <c r="F234" s="1201"/>
      <c r="G234" s="1201"/>
      <c r="H234" s="1209"/>
      <c r="I234" s="1199"/>
      <c r="J234" s="1199"/>
      <c r="K234" s="1204"/>
      <c r="L234" s="1204"/>
      <c r="M234" s="672" t="s">
        <v>124</v>
      </c>
      <c r="N234" s="1250"/>
      <c r="O234" s="551">
        <v>1086.8499999999999</v>
      </c>
      <c r="P234" s="552">
        <v>0</v>
      </c>
      <c r="Q234" s="549">
        <v>0</v>
      </c>
      <c r="R234" s="48">
        <v>1762.39</v>
      </c>
      <c r="S234" s="686">
        <f>O234-R234</f>
        <v>-675.54000000000019</v>
      </c>
      <c r="T234" s="48"/>
      <c r="U234" s="48"/>
      <c r="V234" s="48"/>
    </row>
    <row r="235" spans="2:22" ht="38.25" customHeight="1" thickBot="1" x14ac:dyDescent="0.3">
      <c r="B235" s="1241"/>
      <c r="C235" s="1239"/>
      <c r="D235" s="555"/>
      <c r="E235" s="1237"/>
      <c r="F235" s="1235"/>
      <c r="G235" s="1235"/>
      <c r="H235" s="1291"/>
      <c r="I235" s="1237"/>
      <c r="J235" s="1208"/>
      <c r="K235" s="1204"/>
      <c r="L235" s="1204"/>
      <c r="M235" s="547" t="s">
        <v>745</v>
      </c>
      <c r="N235" s="681"/>
      <c r="O235" s="557">
        <v>7719</v>
      </c>
      <c r="P235" s="676">
        <v>0</v>
      </c>
      <c r="Q235" s="563">
        <v>0</v>
      </c>
      <c r="R235" s="48"/>
      <c r="S235" s="48"/>
      <c r="T235" s="48"/>
      <c r="U235" s="48"/>
      <c r="V235" s="48"/>
    </row>
    <row r="236" spans="2:22" ht="46.5" customHeight="1" thickBot="1" x14ac:dyDescent="0.3">
      <c r="B236" s="1240" t="s">
        <v>64</v>
      </c>
      <c r="C236" s="1238" t="s">
        <v>291</v>
      </c>
      <c r="D236" s="555">
        <v>27302170</v>
      </c>
      <c r="E236" s="1236" t="s">
        <v>204</v>
      </c>
      <c r="F236" s="1234" t="s">
        <v>842</v>
      </c>
      <c r="G236" s="1234" t="s">
        <v>190</v>
      </c>
      <c r="H236" s="1312" t="s">
        <v>240</v>
      </c>
      <c r="I236" s="1236">
        <v>1</v>
      </c>
      <c r="J236" s="1207" t="s">
        <v>462</v>
      </c>
      <c r="K236" s="1206" t="s">
        <v>199</v>
      </c>
      <c r="L236" s="1206" t="s">
        <v>199</v>
      </c>
      <c r="M236" s="542" t="s">
        <v>122</v>
      </c>
      <c r="N236" s="1248"/>
      <c r="O236" s="551">
        <f>O237+O238</f>
        <v>0</v>
      </c>
      <c r="P236" s="551">
        <f>P237+P238</f>
        <v>0</v>
      </c>
      <c r="Q236" s="552">
        <f>Q237+Q238</f>
        <v>0</v>
      </c>
      <c r="R236" s="48"/>
      <c r="S236" s="48"/>
      <c r="T236" s="48"/>
      <c r="U236" s="48"/>
      <c r="V236" s="48"/>
    </row>
    <row r="237" spans="2:22" ht="24.75" customHeight="1" thickBot="1" x14ac:dyDescent="0.3">
      <c r="B237" s="1204"/>
      <c r="C237" s="1192"/>
      <c r="D237" s="555"/>
      <c r="E237" s="1199"/>
      <c r="F237" s="1201"/>
      <c r="G237" s="1201"/>
      <c r="H237" s="1209"/>
      <c r="I237" s="1199"/>
      <c r="J237" s="1199"/>
      <c r="K237" s="1204"/>
      <c r="L237" s="1204"/>
      <c r="M237" s="636" t="s">
        <v>123</v>
      </c>
      <c r="N237" s="1249"/>
      <c r="O237" s="561">
        <v>0</v>
      </c>
      <c r="P237" s="562">
        <v>0</v>
      </c>
      <c r="Q237" s="550">
        <v>0</v>
      </c>
      <c r="R237" s="48"/>
      <c r="S237" s="48"/>
      <c r="T237" s="48"/>
      <c r="U237" s="48"/>
      <c r="V237" s="48"/>
    </row>
    <row r="238" spans="2:22" ht="23.25" customHeight="1" thickBot="1" x14ac:dyDescent="0.3">
      <c r="B238" s="1204"/>
      <c r="C238" s="1192"/>
      <c r="D238" s="555"/>
      <c r="E238" s="1199"/>
      <c r="F238" s="1201"/>
      <c r="G238" s="1201"/>
      <c r="H238" s="1209"/>
      <c r="I238" s="1199"/>
      <c r="J238" s="1199"/>
      <c r="K238" s="1204"/>
      <c r="L238" s="1204"/>
      <c r="M238" s="672" t="s">
        <v>124</v>
      </c>
      <c r="N238" s="1250"/>
      <c r="O238" s="551">
        <v>0</v>
      </c>
      <c r="P238" s="552">
        <v>0</v>
      </c>
      <c r="Q238" s="549">
        <v>0</v>
      </c>
      <c r="R238" s="48"/>
      <c r="S238" s="48"/>
      <c r="T238" s="48"/>
      <c r="U238" s="48"/>
      <c r="V238" s="48"/>
    </row>
    <row r="239" spans="2:22" ht="35.25" customHeight="1" thickBot="1" x14ac:dyDescent="0.3">
      <c r="B239" s="1241"/>
      <c r="C239" s="1239"/>
      <c r="D239" s="555"/>
      <c r="E239" s="1237"/>
      <c r="F239" s="1235"/>
      <c r="G239" s="1235"/>
      <c r="H239" s="1291"/>
      <c r="I239" s="1237"/>
      <c r="J239" s="1208"/>
      <c r="K239" s="1204"/>
      <c r="L239" s="1204"/>
      <c r="M239" s="547" t="s">
        <v>745</v>
      </c>
      <c r="N239" s="681"/>
      <c r="O239" s="557">
        <v>29.737179999999999</v>
      </c>
      <c r="P239" s="676">
        <v>0</v>
      </c>
      <c r="Q239" s="563">
        <v>0</v>
      </c>
      <c r="R239" s="48"/>
      <c r="S239" s="48"/>
      <c r="T239" s="48"/>
      <c r="U239" s="48"/>
      <c r="V239" s="48"/>
    </row>
    <row r="240" spans="2:22" ht="39.75" customHeight="1" thickBot="1" x14ac:dyDescent="0.3">
      <c r="B240" s="1240" t="s">
        <v>64</v>
      </c>
      <c r="C240" s="1238" t="s">
        <v>291</v>
      </c>
      <c r="D240" s="555">
        <v>27302170</v>
      </c>
      <c r="E240" s="1236" t="s">
        <v>204</v>
      </c>
      <c r="F240" s="1234" t="s">
        <v>896</v>
      </c>
      <c r="G240" s="1234" t="s">
        <v>844</v>
      </c>
      <c r="H240" s="1312" t="s">
        <v>240</v>
      </c>
      <c r="I240" s="1236">
        <v>1</v>
      </c>
      <c r="J240" s="1207" t="s">
        <v>462</v>
      </c>
      <c r="K240" s="1206" t="s">
        <v>199</v>
      </c>
      <c r="L240" s="1206" t="s">
        <v>199</v>
      </c>
      <c r="M240" s="542" t="s">
        <v>122</v>
      </c>
      <c r="N240" s="1248"/>
      <c r="O240" s="551">
        <f>O241+O242</f>
        <v>2084.44</v>
      </c>
      <c r="P240" s="551">
        <f>P241+P242</f>
        <v>0</v>
      </c>
      <c r="Q240" s="552">
        <f>Q241+Q242</f>
        <v>0</v>
      </c>
      <c r="R240" s="744">
        <v>571.52300000000002</v>
      </c>
      <c r="S240" s="48"/>
      <c r="T240" s="48"/>
      <c r="U240" s="48"/>
      <c r="V240" s="48"/>
    </row>
    <row r="241" spans="2:22" ht="24.75" customHeight="1" thickBot="1" x14ac:dyDescent="0.3">
      <c r="B241" s="1204"/>
      <c r="C241" s="1192"/>
      <c r="D241" s="555"/>
      <c r="E241" s="1199"/>
      <c r="F241" s="1201"/>
      <c r="G241" s="1201"/>
      <c r="H241" s="1209"/>
      <c r="I241" s="1199"/>
      <c r="J241" s="1199"/>
      <c r="K241" s="1204"/>
      <c r="L241" s="1204"/>
      <c r="M241" s="636" t="s">
        <v>123</v>
      </c>
      <c r="N241" s="1249"/>
      <c r="O241" s="561">
        <v>0</v>
      </c>
      <c r="P241" s="562">
        <v>0</v>
      </c>
      <c r="Q241" s="550">
        <v>0</v>
      </c>
      <c r="R241" s="48"/>
      <c r="S241" s="48"/>
      <c r="T241" s="48"/>
      <c r="U241" s="48"/>
      <c r="V241" s="48"/>
    </row>
    <row r="242" spans="2:22" ht="20.25" customHeight="1" thickBot="1" x14ac:dyDescent="0.3">
      <c r="B242" s="1204"/>
      <c r="C242" s="1192"/>
      <c r="D242" s="555"/>
      <c r="E242" s="1199"/>
      <c r="F242" s="1201"/>
      <c r="G242" s="1201"/>
      <c r="H242" s="1209"/>
      <c r="I242" s="1199"/>
      <c r="J242" s="1199"/>
      <c r="K242" s="1204"/>
      <c r="L242" s="1204"/>
      <c r="M242" s="672" t="s">
        <v>124</v>
      </c>
      <c r="N242" s="1250"/>
      <c r="O242" s="551">
        <v>2084.44</v>
      </c>
      <c r="P242" s="552">
        <v>0</v>
      </c>
      <c r="Q242" s="549">
        <v>0</v>
      </c>
      <c r="R242" s="48"/>
      <c r="S242" s="48"/>
      <c r="T242" s="48"/>
      <c r="U242" s="48"/>
      <c r="V242" s="48"/>
    </row>
    <row r="243" spans="2:22" ht="16.5" thickBot="1" x14ac:dyDescent="0.3">
      <c r="B243" s="1241"/>
      <c r="C243" s="1239"/>
      <c r="D243" s="555"/>
      <c r="E243" s="1237"/>
      <c r="F243" s="1235"/>
      <c r="G243" s="1235"/>
      <c r="H243" s="1291"/>
      <c r="I243" s="1237"/>
      <c r="J243" s="1208"/>
      <c r="K243" s="1204"/>
      <c r="L243" s="1204"/>
      <c r="M243" s="547" t="s">
        <v>745</v>
      </c>
      <c r="N243" s="681"/>
      <c r="O243" s="557">
        <v>0</v>
      </c>
      <c r="P243" s="676">
        <v>0</v>
      </c>
      <c r="Q243" s="563">
        <v>0</v>
      </c>
      <c r="R243" s="48"/>
      <c r="S243" s="48"/>
      <c r="T243" s="48"/>
      <c r="U243" s="48"/>
      <c r="V243" s="48"/>
    </row>
    <row r="244" spans="2:22" ht="16.5" thickBot="1" x14ac:dyDescent="0.3">
      <c r="B244" s="1240" t="s">
        <v>905</v>
      </c>
      <c r="C244" s="1238" t="s">
        <v>906</v>
      </c>
      <c r="D244" s="555">
        <v>27302168</v>
      </c>
      <c r="E244" s="1236" t="s">
        <v>204</v>
      </c>
      <c r="F244" s="1200" t="s">
        <v>907</v>
      </c>
      <c r="G244" s="1200" t="s">
        <v>844</v>
      </c>
      <c r="H244" s="1312" t="s">
        <v>240</v>
      </c>
      <c r="I244" s="1236">
        <v>1</v>
      </c>
      <c r="J244" s="1269" t="s">
        <v>753</v>
      </c>
      <c r="K244" s="1206" t="s">
        <v>199</v>
      </c>
      <c r="L244" s="1206" t="s">
        <v>199</v>
      </c>
      <c r="M244" s="542" t="s">
        <v>122</v>
      </c>
      <c r="N244" s="1248"/>
      <c r="O244" s="551">
        <f>O245+O246</f>
        <v>31.1</v>
      </c>
      <c r="P244" s="551">
        <f>P245+P246</f>
        <v>0</v>
      </c>
      <c r="Q244" s="552">
        <f>Q245+Q246</f>
        <v>0</v>
      </c>
      <c r="R244" s="48"/>
      <c r="S244" s="48"/>
      <c r="T244" s="48"/>
      <c r="U244" s="48"/>
      <c r="V244" s="48"/>
    </row>
    <row r="245" spans="2:22" ht="16.5" thickBot="1" x14ac:dyDescent="0.3">
      <c r="B245" s="1204"/>
      <c r="C245" s="1192"/>
      <c r="D245" s="555"/>
      <c r="E245" s="1199"/>
      <c r="F245" s="1201"/>
      <c r="G245" s="1201"/>
      <c r="H245" s="1209"/>
      <c r="I245" s="1199"/>
      <c r="J245" s="1270"/>
      <c r="K245" s="1204"/>
      <c r="L245" s="1204"/>
      <c r="M245" s="636" t="s">
        <v>123</v>
      </c>
      <c r="N245" s="1249"/>
      <c r="O245" s="561">
        <v>0</v>
      </c>
      <c r="P245" s="562">
        <v>0</v>
      </c>
      <c r="Q245" s="550">
        <v>0</v>
      </c>
      <c r="R245" s="48"/>
      <c r="S245" s="48"/>
      <c r="T245" s="48"/>
      <c r="U245" s="48"/>
      <c r="V245" s="48"/>
    </row>
    <row r="246" spans="2:22" ht="16.5" thickBot="1" x14ac:dyDescent="0.3">
      <c r="B246" s="1204"/>
      <c r="C246" s="1192"/>
      <c r="D246" s="555"/>
      <c r="E246" s="1199"/>
      <c r="F246" s="1201"/>
      <c r="G246" s="1201"/>
      <c r="H246" s="1209"/>
      <c r="I246" s="1199"/>
      <c r="J246" s="1270"/>
      <c r="K246" s="1204"/>
      <c r="L246" s="1204"/>
      <c r="M246" s="672" t="s">
        <v>124</v>
      </c>
      <c r="N246" s="1250"/>
      <c r="O246" s="551">
        <v>31.1</v>
      </c>
      <c r="P246" s="552">
        <v>0</v>
      </c>
      <c r="Q246" s="549">
        <v>0</v>
      </c>
      <c r="R246" s="707">
        <f>O246+O250</f>
        <v>146.9</v>
      </c>
      <c r="S246" s="48"/>
      <c r="T246" s="48"/>
      <c r="U246" s="48"/>
      <c r="V246" s="48"/>
    </row>
    <row r="247" spans="2:22" ht="16.5" thickBot="1" x14ac:dyDescent="0.3">
      <c r="B247" s="1241"/>
      <c r="C247" s="1239"/>
      <c r="D247" s="555"/>
      <c r="E247" s="1237"/>
      <c r="F247" s="1202"/>
      <c r="G247" s="1202"/>
      <c r="H247" s="1291"/>
      <c r="I247" s="1237"/>
      <c r="J247" s="1271"/>
      <c r="K247" s="1204"/>
      <c r="L247" s="1204"/>
      <c r="M247" s="547" t="s">
        <v>745</v>
      </c>
      <c r="N247" s="681"/>
      <c r="O247" s="557">
        <v>0</v>
      </c>
      <c r="P247" s="676">
        <v>0</v>
      </c>
      <c r="Q247" s="563">
        <v>0</v>
      </c>
      <c r="R247" s="48"/>
      <c r="S247" s="48"/>
      <c r="T247" s="48"/>
      <c r="U247" s="48"/>
      <c r="V247" s="48"/>
    </row>
    <row r="248" spans="2:22" ht="16.5" thickBot="1" x14ac:dyDescent="0.3">
      <c r="B248" s="1240" t="s">
        <v>63</v>
      </c>
      <c r="C248" s="1238" t="s">
        <v>904</v>
      </c>
      <c r="D248" s="555">
        <v>27302169</v>
      </c>
      <c r="E248" s="1236" t="s">
        <v>204</v>
      </c>
      <c r="F248" s="1200" t="s">
        <v>908</v>
      </c>
      <c r="G248" s="1200" t="s">
        <v>909</v>
      </c>
      <c r="H248" s="1312" t="s">
        <v>240</v>
      </c>
      <c r="I248" s="1236">
        <v>8</v>
      </c>
      <c r="J248" s="1269" t="s">
        <v>753</v>
      </c>
      <c r="K248" s="1206" t="s">
        <v>199</v>
      </c>
      <c r="L248" s="1206" t="s">
        <v>199</v>
      </c>
      <c r="M248" s="542" t="s">
        <v>122</v>
      </c>
      <c r="N248" s="1248"/>
      <c r="O248" s="551">
        <f>O249+O250</f>
        <v>115.8</v>
      </c>
      <c r="P248" s="551">
        <f>P249+P250</f>
        <v>0</v>
      </c>
      <c r="Q248" s="552">
        <f>Q249+Q250</f>
        <v>0</v>
      </c>
      <c r="R248" s="48"/>
      <c r="S248" s="48"/>
      <c r="T248" s="48"/>
      <c r="U248" s="48"/>
      <c r="V248" s="48"/>
    </row>
    <row r="249" spans="2:22" ht="16.5" thickBot="1" x14ac:dyDescent="0.3">
      <c r="B249" s="1204"/>
      <c r="C249" s="1192"/>
      <c r="D249" s="555"/>
      <c r="E249" s="1199"/>
      <c r="F249" s="1201"/>
      <c r="G249" s="1201"/>
      <c r="H249" s="1209"/>
      <c r="I249" s="1199"/>
      <c r="J249" s="1270"/>
      <c r="K249" s="1204"/>
      <c r="L249" s="1204"/>
      <c r="M249" s="636" t="s">
        <v>123</v>
      </c>
      <c r="N249" s="1249"/>
      <c r="O249" s="561">
        <v>0</v>
      </c>
      <c r="P249" s="562">
        <v>0</v>
      </c>
      <c r="Q249" s="550">
        <v>0</v>
      </c>
      <c r="R249" s="48"/>
      <c r="S249" s="48"/>
      <c r="T249" s="48"/>
      <c r="U249" s="48"/>
      <c r="V249" s="48"/>
    </row>
    <row r="250" spans="2:22" ht="16.5" thickBot="1" x14ac:dyDescent="0.3">
      <c r="B250" s="1204"/>
      <c r="C250" s="1192"/>
      <c r="D250" s="555"/>
      <c r="E250" s="1199"/>
      <c r="F250" s="1201"/>
      <c r="G250" s="1201"/>
      <c r="H250" s="1209"/>
      <c r="I250" s="1199"/>
      <c r="J250" s="1270"/>
      <c r="K250" s="1204"/>
      <c r="L250" s="1204"/>
      <c r="M250" s="672" t="s">
        <v>124</v>
      </c>
      <c r="N250" s="1250"/>
      <c r="O250" s="551">
        <v>115.8</v>
      </c>
      <c r="P250" s="552">
        <v>0</v>
      </c>
      <c r="Q250" s="549">
        <v>0</v>
      </c>
      <c r="R250" s="48"/>
      <c r="S250" s="48"/>
      <c r="T250" s="48"/>
      <c r="U250" s="48"/>
      <c r="V250" s="48"/>
    </row>
    <row r="251" spans="2:22" ht="16.5" thickBot="1" x14ac:dyDescent="0.3">
      <c r="B251" s="1241"/>
      <c r="C251" s="1239"/>
      <c r="D251" s="555"/>
      <c r="E251" s="1237"/>
      <c r="F251" s="1202"/>
      <c r="G251" s="1202"/>
      <c r="H251" s="1291"/>
      <c r="I251" s="1237"/>
      <c r="J251" s="1271"/>
      <c r="K251" s="1204"/>
      <c r="L251" s="1204"/>
      <c r="M251" s="547" t="s">
        <v>745</v>
      </c>
      <c r="N251" s="681"/>
      <c r="O251" s="557">
        <v>0</v>
      </c>
      <c r="P251" s="676">
        <v>0</v>
      </c>
      <c r="Q251" s="563">
        <v>0</v>
      </c>
      <c r="R251" s="48"/>
      <c r="S251" s="48"/>
      <c r="T251" s="48"/>
      <c r="U251" s="48"/>
      <c r="V251" s="48"/>
    </row>
    <row r="252" spans="2:22" ht="27.75" customHeight="1" thickBot="1" x14ac:dyDescent="0.3">
      <c r="B252" s="1240" t="s">
        <v>64</v>
      </c>
      <c r="C252" s="1238" t="s">
        <v>291</v>
      </c>
      <c r="D252" s="555">
        <v>27302170</v>
      </c>
      <c r="E252" s="1236" t="s">
        <v>628</v>
      </c>
      <c r="F252" s="1234" t="s">
        <v>897</v>
      </c>
      <c r="G252" s="1236" t="s">
        <v>823</v>
      </c>
      <c r="H252" s="1312" t="s">
        <v>240</v>
      </c>
      <c r="I252" s="1236">
        <v>1</v>
      </c>
      <c r="J252" s="1207" t="s">
        <v>462</v>
      </c>
      <c r="K252" s="1206" t="s">
        <v>199</v>
      </c>
      <c r="L252" s="1206" t="s">
        <v>199</v>
      </c>
      <c r="M252" s="542" t="s">
        <v>122</v>
      </c>
      <c r="N252" s="1248"/>
      <c r="O252" s="551">
        <f>O253+O254</f>
        <v>317.08</v>
      </c>
      <c r="P252" s="551">
        <f>P253+P254</f>
        <v>0</v>
      </c>
      <c r="Q252" s="552">
        <f>Q253+Q254</f>
        <v>0</v>
      </c>
      <c r="R252" s="48"/>
      <c r="S252" s="48"/>
      <c r="T252" s="48"/>
      <c r="U252" s="48"/>
      <c r="V252" s="48"/>
    </row>
    <row r="253" spans="2:22" ht="24" customHeight="1" thickBot="1" x14ac:dyDescent="0.3">
      <c r="B253" s="1204"/>
      <c r="C253" s="1192"/>
      <c r="D253" s="555"/>
      <c r="E253" s="1199"/>
      <c r="F253" s="1201"/>
      <c r="G253" s="1199"/>
      <c r="H253" s="1209"/>
      <c r="I253" s="1199"/>
      <c r="J253" s="1199"/>
      <c r="K253" s="1204"/>
      <c r="L253" s="1204"/>
      <c r="M253" s="636" t="s">
        <v>123</v>
      </c>
      <c r="N253" s="1249"/>
      <c r="O253" s="561">
        <v>0</v>
      </c>
      <c r="P253" s="562">
        <v>0</v>
      </c>
      <c r="Q253" s="550">
        <v>0</v>
      </c>
      <c r="R253" s="48"/>
      <c r="S253" s="48"/>
      <c r="T253" s="48"/>
      <c r="U253" s="48"/>
      <c r="V253" s="48"/>
    </row>
    <row r="254" spans="2:22" ht="27" customHeight="1" thickBot="1" x14ac:dyDescent="0.3">
      <c r="B254" s="1204"/>
      <c r="C254" s="1192"/>
      <c r="D254" s="555"/>
      <c r="E254" s="1199"/>
      <c r="F254" s="1201"/>
      <c r="G254" s="1199"/>
      <c r="H254" s="1209"/>
      <c r="I254" s="1199"/>
      <c r="J254" s="1199"/>
      <c r="K254" s="1204"/>
      <c r="L254" s="1204"/>
      <c r="M254" s="672" t="s">
        <v>124</v>
      </c>
      <c r="N254" s="1250"/>
      <c r="O254" s="551">
        <v>317.08</v>
      </c>
      <c r="P254" s="552">
        <v>0</v>
      </c>
      <c r="Q254" s="549">
        <v>0</v>
      </c>
      <c r="R254" s="48"/>
      <c r="S254" s="48"/>
      <c r="T254" s="48"/>
      <c r="U254" s="48"/>
      <c r="V254" s="48"/>
    </row>
    <row r="255" spans="2:22" ht="26.25" customHeight="1" thickBot="1" x14ac:dyDescent="0.3">
      <c r="B255" s="1241"/>
      <c r="C255" s="1239"/>
      <c r="D255" s="555"/>
      <c r="E255" s="1237"/>
      <c r="F255" s="1235"/>
      <c r="G255" s="1237"/>
      <c r="H255" s="1291"/>
      <c r="I255" s="1237"/>
      <c r="J255" s="1208"/>
      <c r="K255" s="1204"/>
      <c r="L255" s="1204"/>
      <c r="M255" s="547" t="s">
        <v>745</v>
      </c>
      <c r="N255" s="681"/>
      <c r="O255" s="557">
        <v>0</v>
      </c>
      <c r="P255" s="676">
        <v>0</v>
      </c>
      <c r="Q255" s="563">
        <v>0</v>
      </c>
      <c r="R255" s="48"/>
      <c r="S255" s="48"/>
      <c r="T255" s="48"/>
      <c r="U255" s="48"/>
      <c r="V255" s="48"/>
    </row>
    <row r="256" spans="2:22" ht="23.25" customHeight="1" thickBot="1" x14ac:dyDescent="0.3">
      <c r="B256" s="1240" t="s">
        <v>64</v>
      </c>
      <c r="C256" s="1238" t="s">
        <v>291</v>
      </c>
      <c r="D256" s="555">
        <v>27302170</v>
      </c>
      <c r="E256" s="1236" t="s">
        <v>575</v>
      </c>
      <c r="F256" s="1234" t="s">
        <v>822</v>
      </c>
      <c r="G256" s="1234" t="s">
        <v>435</v>
      </c>
      <c r="H256" s="1312" t="s">
        <v>240</v>
      </c>
      <c r="I256" s="1236" t="s">
        <v>263</v>
      </c>
      <c r="J256" s="1207" t="s">
        <v>462</v>
      </c>
      <c r="K256" s="1206" t="s">
        <v>199</v>
      </c>
      <c r="L256" s="1206" t="s">
        <v>199</v>
      </c>
      <c r="M256" s="542" t="s">
        <v>122</v>
      </c>
      <c r="N256" s="1248"/>
      <c r="O256" s="551">
        <f>O257+O258</f>
        <v>0</v>
      </c>
      <c r="P256" s="551">
        <f>P257+P258</f>
        <v>0</v>
      </c>
      <c r="Q256" s="552">
        <f>Q257+Q258</f>
        <v>0</v>
      </c>
      <c r="R256" s="48"/>
      <c r="S256" s="48"/>
      <c r="T256" s="48"/>
      <c r="U256" s="48"/>
      <c r="V256" s="48"/>
    </row>
    <row r="257" spans="2:22" ht="21.75" customHeight="1" thickBot="1" x14ac:dyDescent="0.3">
      <c r="B257" s="1204"/>
      <c r="C257" s="1192"/>
      <c r="D257" s="555"/>
      <c r="E257" s="1199"/>
      <c r="F257" s="1201"/>
      <c r="G257" s="1201"/>
      <c r="H257" s="1209"/>
      <c r="I257" s="1199"/>
      <c r="J257" s="1199"/>
      <c r="K257" s="1204"/>
      <c r="L257" s="1204"/>
      <c r="M257" s="636" t="s">
        <v>123</v>
      </c>
      <c r="N257" s="1249"/>
      <c r="O257" s="561">
        <v>0</v>
      </c>
      <c r="P257" s="562">
        <v>0</v>
      </c>
      <c r="Q257" s="550">
        <v>0</v>
      </c>
      <c r="R257" s="48"/>
      <c r="S257" s="48"/>
      <c r="T257" s="48"/>
      <c r="U257" s="48"/>
      <c r="V257" s="48"/>
    </row>
    <row r="258" spans="2:22" ht="21" customHeight="1" thickBot="1" x14ac:dyDescent="0.3">
      <c r="B258" s="1204"/>
      <c r="C258" s="1192"/>
      <c r="D258" s="555"/>
      <c r="E258" s="1199"/>
      <c r="F258" s="1201"/>
      <c r="G258" s="1201"/>
      <c r="H258" s="1209"/>
      <c r="I258" s="1199"/>
      <c r="J258" s="1199"/>
      <c r="K258" s="1204"/>
      <c r="L258" s="1204"/>
      <c r="M258" s="672" t="s">
        <v>124</v>
      </c>
      <c r="N258" s="1250"/>
      <c r="O258" s="551">
        <v>0</v>
      </c>
      <c r="P258" s="552">
        <v>0</v>
      </c>
      <c r="Q258" s="549">
        <v>0</v>
      </c>
      <c r="R258" s="48"/>
      <c r="S258" s="48"/>
      <c r="T258" s="48"/>
      <c r="U258" s="48"/>
      <c r="V258" s="48"/>
    </row>
    <row r="259" spans="2:22" ht="21" customHeight="1" thickBot="1" x14ac:dyDescent="0.3">
      <c r="B259" s="1241"/>
      <c r="C259" s="1239"/>
      <c r="D259" s="555"/>
      <c r="E259" s="1237"/>
      <c r="F259" s="1235"/>
      <c r="G259" s="1235"/>
      <c r="H259" s="1291"/>
      <c r="I259" s="1237"/>
      <c r="J259" s="1208"/>
      <c r="K259" s="1204"/>
      <c r="L259" s="1204"/>
      <c r="M259" s="547" t="s">
        <v>745</v>
      </c>
      <c r="N259" s="681"/>
      <c r="O259" s="557">
        <v>160</v>
      </c>
      <c r="P259" s="676">
        <v>0</v>
      </c>
      <c r="Q259" s="563">
        <v>0</v>
      </c>
      <c r="R259" s="48"/>
      <c r="S259" s="48"/>
      <c r="T259" s="48"/>
      <c r="U259" s="48"/>
      <c r="V259" s="48"/>
    </row>
    <row r="260" spans="2:22" ht="24.75" customHeight="1" thickBot="1" x14ac:dyDescent="0.3">
      <c r="B260" s="1240" t="s">
        <v>64</v>
      </c>
      <c r="C260" s="1238" t="s">
        <v>291</v>
      </c>
      <c r="D260" s="555">
        <v>27302111</v>
      </c>
      <c r="E260" s="1236" t="s">
        <v>504</v>
      </c>
      <c r="F260" s="1234" t="s">
        <v>825</v>
      </c>
      <c r="G260" s="1234" t="s">
        <v>414</v>
      </c>
      <c r="H260" s="1312" t="s">
        <v>240</v>
      </c>
      <c r="I260" s="1236" t="s">
        <v>263</v>
      </c>
      <c r="J260" s="1207" t="s">
        <v>462</v>
      </c>
      <c r="K260" s="1206" t="s">
        <v>199</v>
      </c>
      <c r="L260" s="1206" t="s">
        <v>199</v>
      </c>
      <c r="M260" s="542" t="s">
        <v>122</v>
      </c>
      <c r="N260" s="1248"/>
      <c r="O260" s="551">
        <f>O261+O262</f>
        <v>0</v>
      </c>
      <c r="P260" s="551">
        <f>P261+P262</f>
        <v>0</v>
      </c>
      <c r="Q260" s="552">
        <f>Q261+Q262</f>
        <v>0</v>
      </c>
      <c r="R260" s="48"/>
      <c r="S260" s="48"/>
      <c r="T260" s="48"/>
      <c r="U260" s="48"/>
      <c r="V260" s="48"/>
    </row>
    <row r="261" spans="2:22" ht="24.75" customHeight="1" thickBot="1" x14ac:dyDescent="0.3">
      <c r="B261" s="1204"/>
      <c r="C261" s="1192"/>
      <c r="D261" s="555"/>
      <c r="E261" s="1199"/>
      <c r="F261" s="1201"/>
      <c r="G261" s="1201"/>
      <c r="H261" s="1209"/>
      <c r="I261" s="1199"/>
      <c r="J261" s="1199"/>
      <c r="K261" s="1204"/>
      <c r="L261" s="1204"/>
      <c r="M261" s="636" t="s">
        <v>123</v>
      </c>
      <c r="N261" s="1249"/>
      <c r="O261" s="561">
        <v>0</v>
      </c>
      <c r="P261" s="562">
        <v>0</v>
      </c>
      <c r="Q261" s="550">
        <v>0</v>
      </c>
      <c r="R261" s="48"/>
      <c r="S261" s="48"/>
      <c r="T261" s="48"/>
      <c r="U261" s="48"/>
      <c r="V261" s="48"/>
    </row>
    <row r="262" spans="2:22" ht="22.5" customHeight="1" thickBot="1" x14ac:dyDescent="0.3">
      <c r="B262" s="1204"/>
      <c r="C262" s="1192"/>
      <c r="D262" s="555"/>
      <c r="E262" s="1199"/>
      <c r="F262" s="1201"/>
      <c r="G262" s="1201"/>
      <c r="H262" s="1209"/>
      <c r="I262" s="1199"/>
      <c r="J262" s="1199"/>
      <c r="K262" s="1204"/>
      <c r="L262" s="1204"/>
      <c r="M262" s="672" t="s">
        <v>124</v>
      </c>
      <c r="N262" s="1250"/>
      <c r="O262" s="551">
        <v>0</v>
      </c>
      <c r="P262" s="552">
        <v>0</v>
      </c>
      <c r="Q262" s="549">
        <v>0</v>
      </c>
      <c r="R262" s="48"/>
      <c r="S262" s="48"/>
      <c r="T262" s="48"/>
      <c r="U262" s="48"/>
      <c r="V262" s="48"/>
    </row>
    <row r="263" spans="2:22" ht="22.5" customHeight="1" thickBot="1" x14ac:dyDescent="0.3">
      <c r="B263" s="1241"/>
      <c r="C263" s="1239"/>
      <c r="D263" s="555"/>
      <c r="E263" s="1237"/>
      <c r="F263" s="1235"/>
      <c r="G263" s="1235"/>
      <c r="H263" s="1291"/>
      <c r="I263" s="1237"/>
      <c r="J263" s="1208"/>
      <c r="K263" s="1204"/>
      <c r="L263" s="1204"/>
      <c r="M263" s="547" t="s">
        <v>745</v>
      </c>
      <c r="N263" s="681"/>
      <c r="O263" s="557">
        <v>774.29854999999998</v>
      </c>
      <c r="P263" s="676">
        <v>0</v>
      </c>
      <c r="Q263" s="563">
        <v>0</v>
      </c>
      <c r="R263" s="48"/>
      <c r="S263" s="48"/>
      <c r="T263" s="48"/>
      <c r="U263" s="48"/>
      <c r="V263" s="48"/>
    </row>
    <row r="264" spans="2:22" ht="27.75" customHeight="1" thickBot="1" x14ac:dyDescent="0.3">
      <c r="B264" s="1240" t="s">
        <v>64</v>
      </c>
      <c r="C264" s="1238" t="s">
        <v>291</v>
      </c>
      <c r="D264" s="555">
        <v>27302111</v>
      </c>
      <c r="E264" s="1236" t="s">
        <v>504</v>
      </c>
      <c r="F264" s="1234" t="s">
        <v>430</v>
      </c>
      <c r="G264" s="1234" t="s">
        <v>571</v>
      </c>
      <c r="H264" s="1312" t="s">
        <v>569</v>
      </c>
      <c r="I264" s="1236" t="s">
        <v>570</v>
      </c>
      <c r="J264" s="1207" t="s">
        <v>462</v>
      </c>
      <c r="K264" s="1206" t="s">
        <v>199</v>
      </c>
      <c r="L264" s="1206" t="s">
        <v>199</v>
      </c>
      <c r="M264" s="542" t="s">
        <v>122</v>
      </c>
      <c r="N264" s="1248"/>
      <c r="O264" s="551">
        <f>O265+O266</f>
        <v>35.265000000000001</v>
      </c>
      <c r="P264" s="551">
        <f>P265+P266</f>
        <v>0</v>
      </c>
      <c r="Q264" s="552">
        <f>Q265+Q266</f>
        <v>0</v>
      </c>
      <c r="R264" s="48"/>
      <c r="S264" s="48"/>
      <c r="T264" s="48"/>
      <c r="U264" s="48"/>
      <c r="V264" s="48"/>
    </row>
    <row r="265" spans="2:22" ht="27" customHeight="1" thickBot="1" x14ac:dyDescent="0.3">
      <c r="B265" s="1204"/>
      <c r="C265" s="1192"/>
      <c r="D265" s="555"/>
      <c r="E265" s="1199"/>
      <c r="F265" s="1201"/>
      <c r="G265" s="1201"/>
      <c r="H265" s="1209"/>
      <c r="I265" s="1199"/>
      <c r="J265" s="1199"/>
      <c r="K265" s="1204"/>
      <c r="L265" s="1204"/>
      <c r="M265" s="636" t="s">
        <v>123</v>
      </c>
      <c r="N265" s="1249"/>
      <c r="O265" s="561">
        <v>0</v>
      </c>
      <c r="P265" s="562">
        <v>0</v>
      </c>
      <c r="Q265" s="550">
        <v>0</v>
      </c>
      <c r="R265" s="48"/>
      <c r="S265" s="48"/>
      <c r="T265" s="48"/>
      <c r="U265" s="48"/>
      <c r="V265" s="48"/>
    </row>
    <row r="266" spans="2:22" ht="27" customHeight="1" thickBot="1" x14ac:dyDescent="0.3">
      <c r="B266" s="1204"/>
      <c r="C266" s="1192"/>
      <c r="D266" s="555"/>
      <c r="E266" s="1199"/>
      <c r="F266" s="1201"/>
      <c r="G266" s="1201"/>
      <c r="H266" s="1209"/>
      <c r="I266" s="1199"/>
      <c r="J266" s="1199"/>
      <c r="K266" s="1204"/>
      <c r="L266" s="1204"/>
      <c r="M266" s="672" t="s">
        <v>124</v>
      </c>
      <c r="N266" s="1250"/>
      <c r="O266" s="551">
        <v>35.265000000000001</v>
      </c>
      <c r="P266" s="552">
        <v>0</v>
      </c>
      <c r="Q266" s="549">
        <v>0</v>
      </c>
      <c r="R266" s="48"/>
      <c r="S266" s="48"/>
      <c r="T266" s="48"/>
      <c r="U266" s="48"/>
      <c r="V266" s="48"/>
    </row>
    <row r="267" spans="2:22" ht="24" customHeight="1" thickBot="1" x14ac:dyDescent="0.3">
      <c r="B267" s="1241"/>
      <c r="C267" s="1239"/>
      <c r="D267" s="555"/>
      <c r="E267" s="1237"/>
      <c r="F267" s="1235"/>
      <c r="G267" s="1235"/>
      <c r="H267" s="1291"/>
      <c r="I267" s="1237"/>
      <c r="J267" s="1208"/>
      <c r="K267" s="1204"/>
      <c r="L267" s="1204"/>
      <c r="M267" s="547" t="s">
        <v>745</v>
      </c>
      <c r="N267" s="681"/>
      <c r="O267" s="557">
        <v>185.125</v>
      </c>
      <c r="P267" s="676">
        <v>0</v>
      </c>
      <c r="Q267" s="563">
        <v>0</v>
      </c>
      <c r="R267" s="48"/>
      <c r="S267" s="48"/>
      <c r="T267" s="48"/>
      <c r="U267" s="48"/>
      <c r="V267" s="48"/>
    </row>
    <row r="268" spans="2:22" ht="30" customHeight="1" thickBot="1" x14ac:dyDescent="0.3">
      <c r="B268" s="1240" t="s">
        <v>64</v>
      </c>
      <c r="C268" s="1238" t="s">
        <v>291</v>
      </c>
      <c r="D268" s="555">
        <v>27302111</v>
      </c>
      <c r="E268" s="1236" t="s">
        <v>504</v>
      </c>
      <c r="F268" s="1234" t="s">
        <v>824</v>
      </c>
      <c r="G268" s="1236" t="s">
        <v>823</v>
      </c>
      <c r="H268" s="1312" t="s">
        <v>240</v>
      </c>
      <c r="I268" s="1236">
        <v>1</v>
      </c>
      <c r="J268" s="1207" t="s">
        <v>462</v>
      </c>
      <c r="K268" s="1206" t="s">
        <v>199</v>
      </c>
      <c r="L268" s="1206" t="s">
        <v>199</v>
      </c>
      <c r="M268" s="542" t="s">
        <v>122</v>
      </c>
      <c r="N268" s="1248"/>
      <c r="O268" s="551">
        <f>O269+O270</f>
        <v>564.73</v>
      </c>
      <c r="P268" s="551">
        <f>P269+P270</f>
        <v>0</v>
      </c>
      <c r="Q268" s="552">
        <f>Q269+Q270</f>
        <v>0</v>
      </c>
      <c r="R268" s="48"/>
      <c r="S268" s="48"/>
      <c r="T268" s="48"/>
      <c r="U268" s="48"/>
      <c r="V268" s="48"/>
    </row>
    <row r="269" spans="2:22" ht="19.5" customHeight="1" thickBot="1" x14ac:dyDescent="0.3">
      <c r="B269" s="1204"/>
      <c r="C269" s="1192"/>
      <c r="D269" s="555"/>
      <c r="E269" s="1199"/>
      <c r="F269" s="1201"/>
      <c r="G269" s="1199"/>
      <c r="H269" s="1209"/>
      <c r="I269" s="1199"/>
      <c r="J269" s="1199"/>
      <c r="K269" s="1204"/>
      <c r="L269" s="1204"/>
      <c r="M269" s="636" t="s">
        <v>123</v>
      </c>
      <c r="N269" s="1249"/>
      <c r="O269" s="561">
        <v>0</v>
      </c>
      <c r="P269" s="562">
        <v>0</v>
      </c>
      <c r="Q269" s="550">
        <v>0</v>
      </c>
      <c r="R269" s="48"/>
      <c r="S269" s="48"/>
      <c r="T269" s="48"/>
      <c r="U269" s="48"/>
      <c r="V269" s="48"/>
    </row>
    <row r="270" spans="2:22" ht="27.75" customHeight="1" thickBot="1" x14ac:dyDescent="0.3">
      <c r="B270" s="1204"/>
      <c r="C270" s="1192"/>
      <c r="D270" s="555"/>
      <c r="E270" s="1199"/>
      <c r="F270" s="1201"/>
      <c r="G270" s="1199"/>
      <c r="H270" s="1209"/>
      <c r="I270" s="1199"/>
      <c r="J270" s="1199"/>
      <c r="K270" s="1204"/>
      <c r="L270" s="1204"/>
      <c r="M270" s="672" t="s">
        <v>124</v>
      </c>
      <c r="N270" s="1250"/>
      <c r="O270" s="551">
        <v>564.73</v>
      </c>
      <c r="P270" s="552">
        <v>0</v>
      </c>
      <c r="Q270" s="549">
        <v>0</v>
      </c>
      <c r="R270" s="48"/>
      <c r="S270" s="48"/>
      <c r="T270" s="48"/>
      <c r="U270" s="48"/>
      <c r="V270" s="48"/>
    </row>
    <row r="271" spans="2:22" ht="24.75" customHeight="1" thickBot="1" x14ac:dyDescent="0.3">
      <c r="B271" s="1241"/>
      <c r="C271" s="1239"/>
      <c r="D271" s="555"/>
      <c r="E271" s="1237"/>
      <c r="F271" s="1235"/>
      <c r="G271" s="1237"/>
      <c r="H271" s="1291"/>
      <c r="I271" s="1237"/>
      <c r="J271" s="1208"/>
      <c r="K271" s="1204"/>
      <c r="L271" s="1204"/>
      <c r="M271" s="547" t="s">
        <v>745</v>
      </c>
      <c r="N271" s="681"/>
      <c r="O271" s="557">
        <v>0</v>
      </c>
      <c r="P271" s="676">
        <v>0</v>
      </c>
      <c r="Q271" s="563">
        <v>0</v>
      </c>
      <c r="R271" s="48"/>
      <c r="S271" s="48"/>
      <c r="T271" s="48"/>
      <c r="U271" s="48"/>
      <c r="V271" s="48"/>
    </row>
    <row r="272" spans="2:22" ht="66" customHeight="1" thickBot="1" x14ac:dyDescent="0.3">
      <c r="B272" s="1240" t="s">
        <v>64</v>
      </c>
      <c r="C272" s="1238" t="s">
        <v>291</v>
      </c>
      <c r="D272" s="555">
        <v>27302111</v>
      </c>
      <c r="E272" s="1236" t="s">
        <v>459</v>
      </c>
      <c r="F272" s="1234" t="s">
        <v>910</v>
      </c>
      <c r="G272" s="1236" t="s">
        <v>761</v>
      </c>
      <c r="H272" s="1312" t="s">
        <v>240</v>
      </c>
      <c r="I272" s="1236">
        <v>6</v>
      </c>
      <c r="J272" s="1207" t="s">
        <v>462</v>
      </c>
      <c r="K272" s="1206" t="s">
        <v>199</v>
      </c>
      <c r="L272" s="1206" t="s">
        <v>199</v>
      </c>
      <c r="M272" s="542" t="s">
        <v>122</v>
      </c>
      <c r="N272" s="1248"/>
      <c r="O272" s="551">
        <f>O273+O274</f>
        <v>1197.47</v>
      </c>
      <c r="P272" s="551">
        <f>P273+P274</f>
        <v>0</v>
      </c>
      <c r="Q272" s="552">
        <f>Q273+Q274</f>
        <v>0</v>
      </c>
      <c r="R272" s="48"/>
      <c r="S272" s="48"/>
      <c r="T272" s="48"/>
      <c r="U272" s="48"/>
      <c r="V272" s="48"/>
    </row>
    <row r="273" spans="2:22" ht="45.75" customHeight="1" thickBot="1" x14ac:dyDescent="0.3">
      <c r="B273" s="1204"/>
      <c r="C273" s="1192"/>
      <c r="D273" s="555"/>
      <c r="E273" s="1199"/>
      <c r="F273" s="1201"/>
      <c r="G273" s="1199"/>
      <c r="H273" s="1209"/>
      <c r="I273" s="1199"/>
      <c r="J273" s="1199"/>
      <c r="K273" s="1204"/>
      <c r="L273" s="1204"/>
      <c r="M273" s="636" t="s">
        <v>123</v>
      </c>
      <c r="N273" s="1249"/>
      <c r="O273" s="561">
        <v>0</v>
      </c>
      <c r="P273" s="562">
        <v>0</v>
      </c>
      <c r="Q273" s="550">
        <v>0</v>
      </c>
      <c r="R273" s="48"/>
      <c r="S273" s="48"/>
      <c r="T273" s="48"/>
      <c r="U273" s="48"/>
      <c r="V273" s="48"/>
    </row>
    <row r="274" spans="2:22" ht="36" customHeight="1" thickBot="1" x14ac:dyDescent="0.3">
      <c r="B274" s="1204"/>
      <c r="C274" s="1192"/>
      <c r="D274" s="555"/>
      <c r="E274" s="1199"/>
      <c r="F274" s="1201"/>
      <c r="G274" s="1199"/>
      <c r="H274" s="1209"/>
      <c r="I274" s="1199"/>
      <c r="J274" s="1199"/>
      <c r="K274" s="1204"/>
      <c r="L274" s="1204"/>
      <c r="M274" s="672" t="s">
        <v>124</v>
      </c>
      <c r="N274" s="1250"/>
      <c r="O274" s="551">
        <v>1197.47</v>
      </c>
      <c r="P274" s="552">
        <v>0</v>
      </c>
      <c r="Q274" s="549">
        <v>0</v>
      </c>
      <c r="R274" s="48"/>
      <c r="S274" s="48"/>
      <c r="T274" s="48"/>
      <c r="U274" s="48"/>
      <c r="V274" s="48"/>
    </row>
    <row r="275" spans="2:22" ht="40.5" customHeight="1" thickBot="1" x14ac:dyDescent="0.3">
      <c r="B275" s="1241"/>
      <c r="C275" s="1239"/>
      <c r="D275" s="555"/>
      <c r="E275" s="1237"/>
      <c r="F275" s="1235"/>
      <c r="G275" s="1237"/>
      <c r="H275" s="1291"/>
      <c r="I275" s="1237"/>
      <c r="J275" s="1208"/>
      <c r="K275" s="1204"/>
      <c r="L275" s="1204"/>
      <c r="M275" s="547" t="s">
        <v>745</v>
      </c>
      <c r="N275" s="681"/>
      <c r="O275" s="557">
        <v>0</v>
      </c>
      <c r="P275" s="676">
        <v>0</v>
      </c>
      <c r="Q275" s="563">
        <v>0</v>
      </c>
      <c r="R275" s="48"/>
      <c r="S275" s="48"/>
      <c r="T275" s="48"/>
      <c r="U275" s="48"/>
      <c r="V275" s="48"/>
    </row>
    <row r="276" spans="2:22" s="48" customFormat="1" ht="27" customHeight="1" thickBot="1" x14ac:dyDescent="0.3">
      <c r="B276" s="1240" t="s">
        <v>64</v>
      </c>
      <c r="C276" s="1238" t="s">
        <v>291</v>
      </c>
      <c r="D276" s="555">
        <v>27302111</v>
      </c>
      <c r="E276" s="1236" t="s">
        <v>458</v>
      </c>
      <c r="F276" s="1234" t="s">
        <v>845</v>
      </c>
      <c r="G276" s="1234" t="s">
        <v>190</v>
      </c>
      <c r="H276" s="1312" t="s">
        <v>240</v>
      </c>
      <c r="I276" s="1236">
        <v>1</v>
      </c>
      <c r="J276" s="1207" t="s">
        <v>462</v>
      </c>
      <c r="K276" s="1206" t="s">
        <v>199</v>
      </c>
      <c r="L276" s="1206" t="s">
        <v>199</v>
      </c>
      <c r="M276" s="542" t="s">
        <v>122</v>
      </c>
      <c r="N276" s="1248"/>
      <c r="O276" s="551">
        <f>O277+O278</f>
        <v>21.605</v>
      </c>
      <c r="P276" s="551">
        <f>P277+P278</f>
        <v>0</v>
      </c>
      <c r="Q276" s="552">
        <f>Q277+Q278</f>
        <v>0</v>
      </c>
    </row>
    <row r="277" spans="2:22" s="48" customFormat="1" ht="18.75" customHeight="1" thickBot="1" x14ac:dyDescent="0.3">
      <c r="B277" s="1204"/>
      <c r="C277" s="1192"/>
      <c r="D277" s="555"/>
      <c r="E277" s="1199"/>
      <c r="F277" s="1201"/>
      <c r="G277" s="1201"/>
      <c r="H277" s="1209"/>
      <c r="I277" s="1199"/>
      <c r="J277" s="1199"/>
      <c r="K277" s="1204"/>
      <c r="L277" s="1204"/>
      <c r="M277" s="636" t="s">
        <v>123</v>
      </c>
      <c r="N277" s="1249"/>
      <c r="O277" s="561">
        <v>0</v>
      </c>
      <c r="P277" s="562">
        <v>0</v>
      </c>
      <c r="Q277" s="550">
        <v>0</v>
      </c>
    </row>
    <row r="278" spans="2:22" s="48" customFormat="1" ht="23.25" customHeight="1" thickBot="1" x14ac:dyDescent="0.3">
      <c r="B278" s="1204"/>
      <c r="C278" s="1192"/>
      <c r="D278" s="555"/>
      <c r="E278" s="1199"/>
      <c r="F278" s="1201"/>
      <c r="G278" s="1201"/>
      <c r="H278" s="1209"/>
      <c r="I278" s="1199"/>
      <c r="J278" s="1199"/>
      <c r="K278" s="1204"/>
      <c r="L278" s="1204"/>
      <c r="M278" s="672" t="s">
        <v>124</v>
      </c>
      <c r="N278" s="1250"/>
      <c r="O278" s="551">
        <v>21.605</v>
      </c>
      <c r="P278" s="552">
        <v>0</v>
      </c>
      <c r="Q278" s="549">
        <v>0</v>
      </c>
      <c r="R278" s="707">
        <f>O278+O279</f>
        <v>254.91499999999999</v>
      </c>
    </row>
    <row r="279" spans="2:22" s="48" customFormat="1" ht="21.75" customHeight="1" thickBot="1" x14ac:dyDescent="0.3">
      <c r="B279" s="1241"/>
      <c r="C279" s="1239"/>
      <c r="D279" s="555"/>
      <c r="E279" s="1237"/>
      <c r="F279" s="1235"/>
      <c r="G279" s="1235"/>
      <c r="H279" s="1291"/>
      <c r="I279" s="1237"/>
      <c r="J279" s="1208"/>
      <c r="K279" s="1204"/>
      <c r="L279" s="1204"/>
      <c r="M279" s="547" t="s">
        <v>745</v>
      </c>
      <c r="N279" s="681"/>
      <c r="O279" s="557">
        <v>233.31</v>
      </c>
      <c r="P279" s="676">
        <v>0</v>
      </c>
      <c r="Q279" s="563">
        <v>0</v>
      </c>
    </row>
    <row r="280" spans="2:22" s="48" customFormat="1" ht="42" customHeight="1" thickBot="1" x14ac:dyDescent="0.3">
      <c r="B280" s="1240" t="s">
        <v>64</v>
      </c>
      <c r="C280" s="1238" t="s">
        <v>291</v>
      </c>
      <c r="D280" s="555">
        <v>27302111</v>
      </c>
      <c r="E280" s="1236" t="s">
        <v>458</v>
      </c>
      <c r="F280" s="1234" t="s">
        <v>911</v>
      </c>
      <c r="G280" s="1234" t="s">
        <v>846</v>
      </c>
      <c r="H280" s="1312" t="s">
        <v>240</v>
      </c>
      <c r="I280" s="1236">
        <v>1</v>
      </c>
      <c r="J280" s="1207" t="s">
        <v>462</v>
      </c>
      <c r="K280" s="1206" t="s">
        <v>199</v>
      </c>
      <c r="L280" s="1206" t="s">
        <v>199</v>
      </c>
      <c r="M280" s="542" t="s">
        <v>122</v>
      </c>
      <c r="N280" s="1248"/>
      <c r="O280" s="551">
        <f>O281+O282</f>
        <v>379.64100000000002</v>
      </c>
      <c r="P280" s="551">
        <f>P281+P282</f>
        <v>0</v>
      </c>
      <c r="Q280" s="552">
        <f>Q281+Q282</f>
        <v>0</v>
      </c>
    </row>
    <row r="281" spans="2:22" s="48" customFormat="1" ht="21.75" customHeight="1" thickBot="1" x14ac:dyDescent="0.3">
      <c r="B281" s="1204"/>
      <c r="C281" s="1192"/>
      <c r="D281" s="555"/>
      <c r="E281" s="1199"/>
      <c r="F281" s="1201"/>
      <c r="G281" s="1201"/>
      <c r="H281" s="1209"/>
      <c r="I281" s="1199"/>
      <c r="J281" s="1199"/>
      <c r="K281" s="1204"/>
      <c r="L281" s="1204"/>
      <c r="M281" s="636" t="s">
        <v>123</v>
      </c>
      <c r="N281" s="1249"/>
      <c r="O281" s="561">
        <v>0</v>
      </c>
      <c r="P281" s="562">
        <v>0</v>
      </c>
      <c r="Q281" s="550">
        <v>0</v>
      </c>
    </row>
    <row r="282" spans="2:22" s="48" customFormat="1" ht="21.75" customHeight="1" thickBot="1" x14ac:dyDescent="0.3">
      <c r="B282" s="1204"/>
      <c r="C282" s="1192"/>
      <c r="D282" s="555"/>
      <c r="E282" s="1199"/>
      <c r="F282" s="1201"/>
      <c r="G282" s="1201"/>
      <c r="H282" s="1209"/>
      <c r="I282" s="1199"/>
      <c r="J282" s="1199"/>
      <c r="K282" s="1204"/>
      <c r="L282" s="1204"/>
      <c r="M282" s="672" t="s">
        <v>124</v>
      </c>
      <c r="N282" s="1250"/>
      <c r="O282" s="551">
        <v>379.64100000000002</v>
      </c>
      <c r="P282" s="552">
        <v>0</v>
      </c>
      <c r="Q282" s="549">
        <v>0</v>
      </c>
      <c r="R282" s="48">
        <v>401.25099999999998</v>
      </c>
      <c r="S282" s="686">
        <f>O282-R282</f>
        <v>-21.609999999999957</v>
      </c>
    </row>
    <row r="283" spans="2:22" s="48" customFormat="1" ht="21.75" customHeight="1" thickBot="1" x14ac:dyDescent="0.3">
      <c r="B283" s="1241"/>
      <c r="C283" s="1239"/>
      <c r="D283" s="555"/>
      <c r="E283" s="1237"/>
      <c r="F283" s="1235"/>
      <c r="G283" s="1235"/>
      <c r="H283" s="1291"/>
      <c r="I283" s="1237"/>
      <c r="J283" s="1208"/>
      <c r="K283" s="1204"/>
      <c r="L283" s="1204"/>
      <c r="M283" s="547" t="s">
        <v>745</v>
      </c>
      <c r="N283" s="681"/>
      <c r="O283" s="557">
        <v>0</v>
      </c>
      <c r="P283" s="676">
        <v>0</v>
      </c>
      <c r="Q283" s="563">
        <v>0</v>
      </c>
    </row>
    <row r="284" spans="2:22" s="48" customFormat="1" ht="48.75" customHeight="1" thickBot="1" x14ac:dyDescent="0.3">
      <c r="B284" s="1240" t="s">
        <v>64</v>
      </c>
      <c r="C284" s="1238" t="s">
        <v>291</v>
      </c>
      <c r="D284" s="555">
        <v>27302170</v>
      </c>
      <c r="E284" s="1236" t="s">
        <v>200</v>
      </c>
      <c r="F284" s="1234" t="s">
        <v>869</v>
      </c>
      <c r="G284" s="1236" t="s">
        <v>190</v>
      </c>
      <c r="H284" s="1312" t="s">
        <v>240</v>
      </c>
      <c r="I284" s="1236">
        <v>1</v>
      </c>
      <c r="J284" s="1207" t="s">
        <v>462</v>
      </c>
      <c r="K284" s="1206" t="s">
        <v>199</v>
      </c>
      <c r="L284" s="1206" t="s">
        <v>199</v>
      </c>
      <c r="M284" s="542" t="s">
        <v>122</v>
      </c>
      <c r="N284" s="1248"/>
      <c r="O284" s="551">
        <f>O285+O286</f>
        <v>91466</v>
      </c>
      <c r="P284" s="551">
        <f>P285+P286</f>
        <v>0</v>
      </c>
      <c r="Q284" s="552">
        <f>Q285+Q286</f>
        <v>0</v>
      </c>
    </row>
    <row r="285" spans="2:22" s="48" customFormat="1" ht="48" customHeight="1" thickBot="1" x14ac:dyDescent="0.3">
      <c r="B285" s="1204"/>
      <c r="C285" s="1192"/>
      <c r="D285" s="555"/>
      <c r="E285" s="1199"/>
      <c r="F285" s="1201"/>
      <c r="G285" s="1199"/>
      <c r="H285" s="1209"/>
      <c r="I285" s="1199"/>
      <c r="J285" s="1199"/>
      <c r="K285" s="1204"/>
      <c r="L285" s="1204"/>
      <c r="M285" s="636" t="s">
        <v>123</v>
      </c>
      <c r="N285" s="1249"/>
      <c r="O285" s="561">
        <v>45733</v>
      </c>
      <c r="P285" s="562">
        <v>0</v>
      </c>
      <c r="Q285" s="550">
        <v>0</v>
      </c>
      <c r="R285" s="48">
        <v>45733</v>
      </c>
    </row>
    <row r="286" spans="2:22" s="48" customFormat="1" ht="54" customHeight="1" thickBot="1" x14ac:dyDescent="0.3">
      <c r="B286" s="1204"/>
      <c r="C286" s="1192"/>
      <c r="D286" s="555"/>
      <c r="E286" s="1199"/>
      <c r="F286" s="1201"/>
      <c r="G286" s="1199"/>
      <c r="H286" s="1209"/>
      <c r="I286" s="1199"/>
      <c r="J286" s="1199"/>
      <c r="K286" s="1204"/>
      <c r="L286" s="1204"/>
      <c r="M286" s="672" t="s">
        <v>124</v>
      </c>
      <c r="N286" s="1250"/>
      <c r="O286" s="551">
        <f>41723.9+4009.1</f>
        <v>45733</v>
      </c>
      <c r="P286" s="552">
        <v>0</v>
      </c>
      <c r="Q286" s="549">
        <v>0</v>
      </c>
    </row>
    <row r="287" spans="2:22" s="48" customFormat="1" ht="42" customHeight="1" thickBot="1" x14ac:dyDescent="0.3">
      <c r="B287" s="1241"/>
      <c r="C287" s="1239"/>
      <c r="D287" s="555"/>
      <c r="E287" s="1237"/>
      <c r="F287" s="1235"/>
      <c r="G287" s="1237"/>
      <c r="H287" s="1291"/>
      <c r="I287" s="1237"/>
      <c r="J287" s="1208"/>
      <c r="K287" s="1204"/>
      <c r="L287" s="1204"/>
      <c r="M287" s="547" t="s">
        <v>745</v>
      </c>
      <c r="N287" s="681"/>
      <c r="O287" s="557">
        <v>0</v>
      </c>
      <c r="P287" s="676">
        <v>0</v>
      </c>
      <c r="Q287" s="563">
        <v>0</v>
      </c>
    </row>
    <row r="288" spans="2:22" s="48" customFormat="1" ht="57" customHeight="1" thickBot="1" x14ac:dyDescent="0.3">
      <c r="B288" s="1240" t="s">
        <v>64</v>
      </c>
      <c r="C288" s="1238" t="s">
        <v>291</v>
      </c>
      <c r="D288" s="555">
        <v>27302170</v>
      </c>
      <c r="E288" s="1236" t="s">
        <v>200</v>
      </c>
      <c r="F288" s="1234" t="s">
        <v>891</v>
      </c>
      <c r="G288" s="1236" t="s">
        <v>190</v>
      </c>
      <c r="H288" s="1312" t="s">
        <v>240</v>
      </c>
      <c r="I288" s="1236">
        <v>1</v>
      </c>
      <c r="J288" s="1207" t="s">
        <v>462</v>
      </c>
      <c r="K288" s="1206" t="s">
        <v>199</v>
      </c>
      <c r="L288" s="1206" t="s">
        <v>199</v>
      </c>
      <c r="M288" s="542" t="s">
        <v>122</v>
      </c>
      <c r="N288" s="1248"/>
      <c r="O288" s="551">
        <f>O289+O290</f>
        <v>3681.31</v>
      </c>
      <c r="P288" s="551">
        <f>P289+P290</f>
        <v>0</v>
      </c>
      <c r="Q288" s="552">
        <f>Q289+Q290</f>
        <v>0</v>
      </c>
    </row>
    <row r="289" spans="2:18" s="48" customFormat="1" ht="45" customHeight="1" thickBot="1" x14ac:dyDescent="0.3">
      <c r="B289" s="1204"/>
      <c r="C289" s="1192"/>
      <c r="D289" s="555"/>
      <c r="E289" s="1199"/>
      <c r="F289" s="1201"/>
      <c r="G289" s="1199"/>
      <c r="H289" s="1209"/>
      <c r="I289" s="1199"/>
      <c r="J289" s="1199"/>
      <c r="K289" s="1204"/>
      <c r="L289" s="1204"/>
      <c r="M289" s="636" t="s">
        <v>123</v>
      </c>
      <c r="N289" s="1249"/>
      <c r="O289" s="561">
        <v>0</v>
      </c>
      <c r="P289" s="562">
        <v>0</v>
      </c>
      <c r="Q289" s="550">
        <v>0</v>
      </c>
    </row>
    <row r="290" spans="2:18" s="48" customFormat="1" ht="75.75" customHeight="1" thickBot="1" x14ac:dyDescent="0.3">
      <c r="B290" s="1204"/>
      <c r="C290" s="1192"/>
      <c r="D290" s="555"/>
      <c r="E290" s="1199"/>
      <c r="F290" s="1201"/>
      <c r="G290" s="1199"/>
      <c r="H290" s="1209"/>
      <c r="I290" s="1199"/>
      <c r="J290" s="1199"/>
      <c r="K290" s="1204"/>
      <c r="L290" s="1204"/>
      <c r="M290" s="672" t="s">
        <v>124</v>
      </c>
      <c r="N290" s="1250"/>
      <c r="O290" s="551">
        <f>7690.41-4009.1</f>
        <v>3681.31</v>
      </c>
      <c r="P290" s="552">
        <v>0</v>
      </c>
      <c r="Q290" s="549">
        <v>0</v>
      </c>
    </row>
    <row r="291" spans="2:18" s="48" customFormat="1" ht="356.25" customHeight="1" thickBot="1" x14ac:dyDescent="0.3">
      <c r="B291" s="1204"/>
      <c r="C291" s="1192"/>
      <c r="D291" s="680"/>
      <c r="E291" s="1199"/>
      <c r="F291" s="1201"/>
      <c r="G291" s="1199"/>
      <c r="H291" s="1209"/>
      <c r="I291" s="1199"/>
      <c r="J291" s="1199"/>
      <c r="K291" s="1204"/>
      <c r="L291" s="1204"/>
      <c r="M291" s="671" t="s">
        <v>745</v>
      </c>
      <c r="N291" s="690"/>
      <c r="O291" s="561">
        <v>0</v>
      </c>
      <c r="P291" s="562">
        <v>0</v>
      </c>
      <c r="Q291" s="550">
        <v>0</v>
      </c>
    </row>
    <row r="292" spans="2:18" s="48" customFormat="1" ht="21.75" customHeight="1" thickBot="1" x14ac:dyDescent="0.3">
      <c r="B292" s="1206" t="s">
        <v>64</v>
      </c>
      <c r="C292" s="1215" t="s">
        <v>291</v>
      </c>
      <c r="D292" s="654">
        <v>27302111</v>
      </c>
      <c r="E292" s="1207" t="s">
        <v>459</v>
      </c>
      <c r="F292" s="1200" t="s">
        <v>850</v>
      </c>
      <c r="G292" s="1207" t="s">
        <v>190</v>
      </c>
      <c r="H292" s="1232" t="s">
        <v>240</v>
      </c>
      <c r="I292" s="1206" t="s">
        <v>199</v>
      </c>
      <c r="J292" s="1206" t="s">
        <v>528</v>
      </c>
      <c r="K292" s="1206" t="s">
        <v>263</v>
      </c>
      <c r="L292" s="1206" t="s">
        <v>199</v>
      </c>
      <c r="M292" s="542" t="s">
        <v>122</v>
      </c>
      <c r="N292" s="1248"/>
      <c r="O292" s="551">
        <f>O293+O294</f>
        <v>0</v>
      </c>
      <c r="P292" s="551">
        <f>P293+P294</f>
        <v>800</v>
      </c>
      <c r="Q292" s="552">
        <f>Q293+Q294</f>
        <v>0</v>
      </c>
      <c r="R292" s="48">
        <v>2</v>
      </c>
    </row>
    <row r="293" spans="2:18" s="48" customFormat="1" ht="21.75" customHeight="1" thickBot="1" x14ac:dyDescent="0.3">
      <c r="B293" s="1204"/>
      <c r="C293" s="1192"/>
      <c r="D293" s="555"/>
      <c r="E293" s="1199"/>
      <c r="F293" s="1201"/>
      <c r="G293" s="1199"/>
      <c r="H293" s="1209"/>
      <c r="I293" s="1204"/>
      <c r="J293" s="1204"/>
      <c r="K293" s="1204"/>
      <c r="L293" s="1204"/>
      <c r="M293" s="636" t="s">
        <v>123</v>
      </c>
      <c r="N293" s="1249"/>
      <c r="O293" s="561">
        <v>0</v>
      </c>
      <c r="P293" s="562">
        <v>0</v>
      </c>
      <c r="Q293" s="550">
        <v>0</v>
      </c>
    </row>
    <row r="294" spans="2:18" s="48" customFormat="1" ht="21.75" customHeight="1" thickBot="1" x14ac:dyDescent="0.3">
      <c r="B294" s="1204"/>
      <c r="C294" s="1192"/>
      <c r="D294" s="555"/>
      <c r="E294" s="1199"/>
      <c r="F294" s="1201"/>
      <c r="G294" s="1199"/>
      <c r="H294" s="1209"/>
      <c r="I294" s="1204"/>
      <c r="J294" s="1204"/>
      <c r="K294" s="1204"/>
      <c r="L294" s="1204"/>
      <c r="M294" s="672" t="s">
        <v>124</v>
      </c>
      <c r="N294" s="1250"/>
      <c r="O294" s="551">
        <v>0</v>
      </c>
      <c r="P294" s="552">
        <v>800</v>
      </c>
      <c r="Q294" s="549">
        <v>0</v>
      </c>
    </row>
    <row r="295" spans="2:18" s="48" customFormat="1" ht="21.75" customHeight="1" thickBot="1" x14ac:dyDescent="0.3">
      <c r="B295" s="1205"/>
      <c r="C295" s="1216"/>
      <c r="D295" s="558"/>
      <c r="E295" s="1208"/>
      <c r="F295" s="1202"/>
      <c r="G295" s="1208"/>
      <c r="H295" s="1210"/>
      <c r="I295" s="1205"/>
      <c r="J295" s="1205"/>
      <c r="K295" s="1205"/>
      <c r="L295" s="1205"/>
      <c r="M295" s="547" t="s">
        <v>745</v>
      </c>
      <c r="N295" s="681"/>
      <c r="O295" s="557">
        <v>0</v>
      </c>
      <c r="P295" s="676">
        <v>0</v>
      </c>
      <c r="Q295" s="563">
        <v>0</v>
      </c>
    </row>
    <row r="296" spans="2:18" s="48" customFormat="1" ht="62.25" customHeight="1" thickBot="1" x14ac:dyDescent="0.3">
      <c r="B296" s="1240" t="s">
        <v>64</v>
      </c>
      <c r="C296" s="1238" t="s">
        <v>291</v>
      </c>
      <c r="D296" s="555">
        <v>27302170</v>
      </c>
      <c r="E296" s="1236" t="s">
        <v>200</v>
      </c>
      <c r="F296" s="1234" t="s">
        <v>851</v>
      </c>
      <c r="G296" s="1207" t="s">
        <v>190</v>
      </c>
      <c r="H296" s="1232" t="s">
        <v>240</v>
      </c>
      <c r="I296" s="1206" t="s">
        <v>199</v>
      </c>
      <c r="J296" s="1206" t="s">
        <v>528</v>
      </c>
      <c r="K296" s="1206" t="s">
        <v>263</v>
      </c>
      <c r="L296" s="1206" t="s">
        <v>199</v>
      </c>
      <c r="M296" s="542" t="s">
        <v>122</v>
      </c>
      <c r="N296" s="1248"/>
      <c r="O296" s="551">
        <f>O297+O298</f>
        <v>0</v>
      </c>
      <c r="P296" s="551">
        <f>P297+P298</f>
        <v>29490.41</v>
      </c>
      <c r="Q296" s="552">
        <f>Q297+Q298</f>
        <v>0</v>
      </c>
    </row>
    <row r="297" spans="2:18" s="48" customFormat="1" ht="21.75" customHeight="1" thickBot="1" x14ac:dyDescent="0.3">
      <c r="B297" s="1204"/>
      <c r="C297" s="1192"/>
      <c r="D297" s="555"/>
      <c r="E297" s="1199"/>
      <c r="F297" s="1201"/>
      <c r="G297" s="1199"/>
      <c r="H297" s="1209"/>
      <c r="I297" s="1204"/>
      <c r="J297" s="1204"/>
      <c r="K297" s="1204"/>
      <c r="L297" s="1204"/>
      <c r="M297" s="636" t="s">
        <v>123</v>
      </c>
      <c r="N297" s="1249"/>
      <c r="O297" s="561">
        <v>0</v>
      </c>
      <c r="P297" s="562">
        <v>0</v>
      </c>
      <c r="Q297" s="550">
        <v>0</v>
      </c>
    </row>
    <row r="298" spans="2:18" s="48" customFormat="1" ht="21.75" customHeight="1" thickBot="1" x14ac:dyDescent="0.3">
      <c r="B298" s="1204"/>
      <c r="C298" s="1192"/>
      <c r="D298" s="555"/>
      <c r="E298" s="1199"/>
      <c r="F298" s="1201"/>
      <c r="G298" s="1199"/>
      <c r="H298" s="1209"/>
      <c r="I298" s="1204"/>
      <c r="J298" s="1204"/>
      <c r="K298" s="1204"/>
      <c r="L298" s="1204"/>
      <c r="M298" s="672" t="s">
        <v>124</v>
      </c>
      <c r="N298" s="1250"/>
      <c r="O298" s="551">
        <v>0</v>
      </c>
      <c r="P298" s="552">
        <v>29490.41</v>
      </c>
      <c r="Q298" s="549">
        <v>0</v>
      </c>
    </row>
    <row r="299" spans="2:18" s="48" customFormat="1" ht="21.75" customHeight="1" thickBot="1" x14ac:dyDescent="0.3">
      <c r="B299" s="1241"/>
      <c r="C299" s="1239"/>
      <c r="D299" s="555"/>
      <c r="E299" s="1237"/>
      <c r="F299" s="1235"/>
      <c r="G299" s="1208"/>
      <c r="H299" s="1210"/>
      <c r="I299" s="1205"/>
      <c r="J299" s="1205"/>
      <c r="K299" s="1205"/>
      <c r="L299" s="1205"/>
      <c r="M299" s="547" t="s">
        <v>745</v>
      </c>
      <c r="N299" s="681"/>
      <c r="O299" s="557">
        <v>0</v>
      </c>
      <c r="P299" s="676">
        <v>0</v>
      </c>
      <c r="Q299" s="563">
        <v>0</v>
      </c>
    </row>
    <row r="300" spans="2:18" s="48" customFormat="1" ht="21.75" customHeight="1" thickBot="1" x14ac:dyDescent="0.3">
      <c r="B300" s="1240" t="s">
        <v>64</v>
      </c>
      <c r="C300" s="1238" t="s">
        <v>291</v>
      </c>
      <c r="D300" s="555">
        <v>27302170</v>
      </c>
      <c r="E300" s="1236" t="s">
        <v>204</v>
      </c>
      <c r="F300" s="1234" t="s">
        <v>852</v>
      </c>
      <c r="G300" s="1234" t="s">
        <v>190</v>
      </c>
      <c r="H300" s="1312" t="s">
        <v>240</v>
      </c>
      <c r="I300" s="1206" t="s">
        <v>199</v>
      </c>
      <c r="J300" s="1206" t="s">
        <v>528</v>
      </c>
      <c r="K300" s="1206" t="s">
        <v>263</v>
      </c>
      <c r="L300" s="1206" t="s">
        <v>199</v>
      </c>
      <c r="M300" s="542" t="s">
        <v>122</v>
      </c>
      <c r="N300" s="1248"/>
      <c r="O300" s="551">
        <f>O301+O302</f>
        <v>0</v>
      </c>
      <c r="P300" s="551">
        <f>P301+P302</f>
        <v>1670</v>
      </c>
      <c r="Q300" s="552">
        <f>Q301+Q302</f>
        <v>0</v>
      </c>
      <c r="R300" s="48">
        <v>3</v>
      </c>
    </row>
    <row r="301" spans="2:18" s="48" customFormat="1" ht="21.75" customHeight="1" thickBot="1" x14ac:dyDescent="0.3">
      <c r="B301" s="1204"/>
      <c r="C301" s="1192"/>
      <c r="D301" s="555"/>
      <c r="E301" s="1199"/>
      <c r="F301" s="1201"/>
      <c r="G301" s="1201"/>
      <c r="H301" s="1209"/>
      <c r="I301" s="1204"/>
      <c r="J301" s="1204"/>
      <c r="K301" s="1204"/>
      <c r="L301" s="1204"/>
      <c r="M301" s="636" t="s">
        <v>123</v>
      </c>
      <c r="N301" s="1249"/>
      <c r="O301" s="561">
        <v>0</v>
      </c>
      <c r="P301" s="562">
        <v>0</v>
      </c>
      <c r="Q301" s="550">
        <v>0</v>
      </c>
    </row>
    <row r="302" spans="2:18" s="48" customFormat="1" ht="21.75" customHeight="1" thickBot="1" x14ac:dyDescent="0.3">
      <c r="B302" s="1204"/>
      <c r="C302" s="1192"/>
      <c r="D302" s="555"/>
      <c r="E302" s="1199"/>
      <c r="F302" s="1201"/>
      <c r="G302" s="1201"/>
      <c r="H302" s="1209"/>
      <c r="I302" s="1204"/>
      <c r="J302" s="1204"/>
      <c r="K302" s="1204"/>
      <c r="L302" s="1204"/>
      <c r="M302" s="672" t="s">
        <v>124</v>
      </c>
      <c r="N302" s="1250"/>
      <c r="O302" s="551">
        <v>0</v>
      </c>
      <c r="P302" s="552">
        <v>1670</v>
      </c>
      <c r="Q302" s="549">
        <v>0</v>
      </c>
    </row>
    <row r="303" spans="2:18" s="48" customFormat="1" ht="21.75" customHeight="1" thickBot="1" x14ac:dyDescent="0.3">
      <c r="B303" s="1241"/>
      <c r="C303" s="1239"/>
      <c r="D303" s="555"/>
      <c r="E303" s="1237"/>
      <c r="F303" s="1235"/>
      <c r="G303" s="1235"/>
      <c r="H303" s="1291"/>
      <c r="I303" s="1205"/>
      <c r="J303" s="1205"/>
      <c r="K303" s="1205"/>
      <c r="L303" s="1205"/>
      <c r="M303" s="547" t="s">
        <v>745</v>
      </c>
      <c r="N303" s="681"/>
      <c r="O303" s="557">
        <v>0</v>
      </c>
      <c r="P303" s="676">
        <v>0</v>
      </c>
      <c r="Q303" s="563">
        <v>0</v>
      </c>
    </row>
    <row r="304" spans="2:18" s="48" customFormat="1" ht="21.75" customHeight="1" thickBot="1" x14ac:dyDescent="0.3">
      <c r="B304" s="1240" t="s">
        <v>64</v>
      </c>
      <c r="C304" s="1238" t="s">
        <v>291</v>
      </c>
      <c r="D304" s="555">
        <v>27302170</v>
      </c>
      <c r="E304" s="1236" t="s">
        <v>383</v>
      </c>
      <c r="F304" s="1234" t="s">
        <v>853</v>
      </c>
      <c r="G304" s="1234" t="s">
        <v>190</v>
      </c>
      <c r="H304" s="1312" t="s">
        <v>240</v>
      </c>
      <c r="I304" s="1206" t="s">
        <v>199</v>
      </c>
      <c r="J304" s="1206" t="s">
        <v>528</v>
      </c>
      <c r="K304" s="1206" t="s">
        <v>263</v>
      </c>
      <c r="L304" s="1206" t="s">
        <v>199</v>
      </c>
      <c r="M304" s="542" t="s">
        <v>122</v>
      </c>
      <c r="N304" s="1248"/>
      <c r="O304" s="551">
        <f>O305+O306</f>
        <v>0</v>
      </c>
      <c r="P304" s="551">
        <f>P305+P306</f>
        <v>2400</v>
      </c>
      <c r="Q304" s="552">
        <f>Q305+Q306</f>
        <v>0</v>
      </c>
      <c r="R304" s="48">
        <v>4</v>
      </c>
    </row>
    <row r="305" spans="2:19" s="48" customFormat="1" ht="21.75" customHeight="1" thickBot="1" x14ac:dyDescent="0.3">
      <c r="B305" s="1204"/>
      <c r="C305" s="1192"/>
      <c r="D305" s="555"/>
      <c r="E305" s="1199"/>
      <c r="F305" s="1201"/>
      <c r="G305" s="1201"/>
      <c r="H305" s="1209"/>
      <c r="I305" s="1204"/>
      <c r="J305" s="1204"/>
      <c r="K305" s="1204"/>
      <c r="L305" s="1204"/>
      <c r="M305" s="636" t="s">
        <v>123</v>
      </c>
      <c r="N305" s="1249"/>
      <c r="O305" s="561">
        <v>0</v>
      </c>
      <c r="P305" s="562">
        <v>0</v>
      </c>
      <c r="Q305" s="550">
        <v>0</v>
      </c>
    </row>
    <row r="306" spans="2:19" s="48" customFormat="1" ht="21.75" customHeight="1" thickBot="1" x14ac:dyDescent="0.3">
      <c r="B306" s="1204"/>
      <c r="C306" s="1192"/>
      <c r="D306" s="555"/>
      <c r="E306" s="1199"/>
      <c r="F306" s="1201"/>
      <c r="G306" s="1201"/>
      <c r="H306" s="1209"/>
      <c r="I306" s="1204"/>
      <c r="J306" s="1204"/>
      <c r="K306" s="1204"/>
      <c r="L306" s="1204"/>
      <c r="M306" s="672" t="s">
        <v>124</v>
      </c>
      <c r="N306" s="1250"/>
      <c r="O306" s="551">
        <v>0</v>
      </c>
      <c r="P306" s="552">
        <v>2400</v>
      </c>
      <c r="Q306" s="549">
        <v>0</v>
      </c>
    </row>
    <row r="307" spans="2:19" s="48" customFormat="1" ht="21.75" customHeight="1" thickBot="1" x14ac:dyDescent="0.3">
      <c r="B307" s="1241"/>
      <c r="C307" s="1239"/>
      <c r="D307" s="555"/>
      <c r="E307" s="1237"/>
      <c r="F307" s="1235"/>
      <c r="G307" s="1235"/>
      <c r="H307" s="1291"/>
      <c r="I307" s="1205"/>
      <c r="J307" s="1205"/>
      <c r="K307" s="1205"/>
      <c r="L307" s="1205"/>
      <c r="M307" s="547" t="s">
        <v>745</v>
      </c>
      <c r="N307" s="681"/>
      <c r="O307" s="557">
        <v>0</v>
      </c>
      <c r="P307" s="676">
        <v>0</v>
      </c>
      <c r="Q307" s="563">
        <v>0</v>
      </c>
    </row>
    <row r="308" spans="2:19" s="48" customFormat="1" ht="21.75" customHeight="1" thickBot="1" x14ac:dyDescent="0.3">
      <c r="B308" s="1240" t="s">
        <v>64</v>
      </c>
      <c r="C308" s="1238" t="s">
        <v>291</v>
      </c>
      <c r="D308" s="555">
        <v>27302111</v>
      </c>
      <c r="E308" s="1236" t="s">
        <v>458</v>
      </c>
      <c r="F308" s="1234" t="s">
        <v>857</v>
      </c>
      <c r="G308" s="1234" t="s">
        <v>190</v>
      </c>
      <c r="H308" s="1312" t="s">
        <v>240</v>
      </c>
      <c r="I308" s="1206" t="s">
        <v>199</v>
      </c>
      <c r="J308" s="1206" t="s">
        <v>528</v>
      </c>
      <c r="K308" s="1206" t="s">
        <v>263</v>
      </c>
      <c r="L308" s="1206" t="s">
        <v>199</v>
      </c>
      <c r="M308" s="542" t="s">
        <v>122</v>
      </c>
      <c r="N308" s="1248"/>
      <c r="O308" s="551">
        <f>O309+O310</f>
        <v>0</v>
      </c>
      <c r="P308" s="551">
        <f>P309+P310</f>
        <v>450</v>
      </c>
      <c r="Q308" s="552">
        <f>Q309+Q310</f>
        <v>0</v>
      </c>
      <c r="R308" s="48">
        <v>5</v>
      </c>
    </row>
    <row r="309" spans="2:19" s="48" customFormat="1" ht="21.75" customHeight="1" thickBot="1" x14ac:dyDescent="0.3">
      <c r="B309" s="1204"/>
      <c r="C309" s="1192"/>
      <c r="D309" s="555"/>
      <c r="E309" s="1199"/>
      <c r="F309" s="1201"/>
      <c r="G309" s="1201"/>
      <c r="H309" s="1209"/>
      <c r="I309" s="1204"/>
      <c r="J309" s="1204"/>
      <c r="K309" s="1204"/>
      <c r="L309" s="1204"/>
      <c r="M309" s="636" t="s">
        <v>123</v>
      </c>
      <c r="N309" s="1249"/>
      <c r="O309" s="561">
        <v>0</v>
      </c>
      <c r="P309" s="562">
        <v>0</v>
      </c>
      <c r="Q309" s="550">
        <v>0</v>
      </c>
    </row>
    <row r="310" spans="2:19" s="48" customFormat="1" ht="21.75" customHeight="1" thickBot="1" x14ac:dyDescent="0.3">
      <c r="B310" s="1204"/>
      <c r="C310" s="1192"/>
      <c r="D310" s="555"/>
      <c r="E310" s="1199"/>
      <c r="F310" s="1201"/>
      <c r="G310" s="1201"/>
      <c r="H310" s="1209"/>
      <c r="I310" s="1204"/>
      <c r="J310" s="1204"/>
      <c r="K310" s="1204"/>
      <c r="L310" s="1204"/>
      <c r="M310" s="672" t="s">
        <v>124</v>
      </c>
      <c r="N310" s="1250"/>
      <c r="O310" s="551">
        <v>0</v>
      </c>
      <c r="P310" s="552">
        <v>450</v>
      </c>
      <c r="Q310" s="549">
        <v>0</v>
      </c>
    </row>
    <row r="311" spans="2:19" s="48" customFormat="1" ht="21.75" customHeight="1" thickBot="1" x14ac:dyDescent="0.3">
      <c r="B311" s="1241"/>
      <c r="C311" s="1239"/>
      <c r="D311" s="555"/>
      <c r="E311" s="1237"/>
      <c r="F311" s="1235"/>
      <c r="G311" s="1235"/>
      <c r="H311" s="1291"/>
      <c r="I311" s="1205"/>
      <c r="J311" s="1205"/>
      <c r="K311" s="1205"/>
      <c r="L311" s="1205"/>
      <c r="M311" s="547" t="s">
        <v>745</v>
      </c>
      <c r="N311" s="681"/>
      <c r="O311" s="557">
        <v>0</v>
      </c>
      <c r="P311" s="676">
        <v>0</v>
      </c>
      <c r="Q311" s="563">
        <v>0</v>
      </c>
    </row>
    <row r="312" spans="2:19" s="48" customFormat="1" ht="25.5" customHeight="1" thickBot="1" x14ac:dyDescent="0.3">
      <c r="B312" s="1240" t="s">
        <v>64</v>
      </c>
      <c r="C312" s="1238" t="s">
        <v>291</v>
      </c>
      <c r="D312" s="555">
        <v>27302111</v>
      </c>
      <c r="E312" s="1236" t="s">
        <v>504</v>
      </c>
      <c r="F312" s="1234" t="s">
        <v>751</v>
      </c>
      <c r="G312" s="1234" t="s">
        <v>190</v>
      </c>
      <c r="H312" s="1312" t="s">
        <v>240</v>
      </c>
      <c r="I312" s="1206" t="s">
        <v>199</v>
      </c>
      <c r="J312" s="1206" t="s">
        <v>789</v>
      </c>
      <c r="K312" s="1206" t="s">
        <v>199</v>
      </c>
      <c r="L312" s="1206" t="s">
        <v>263</v>
      </c>
      <c r="M312" s="542" t="s">
        <v>122</v>
      </c>
      <c r="N312" s="1248"/>
      <c r="O312" s="551">
        <f>O313+O314</f>
        <v>0</v>
      </c>
      <c r="P312" s="551">
        <f>P313+P314</f>
        <v>0</v>
      </c>
      <c r="Q312" s="552">
        <f>Q313+Q314</f>
        <v>6000</v>
      </c>
      <c r="S312" s="48">
        <v>2</v>
      </c>
    </row>
    <row r="313" spans="2:19" s="48" customFormat="1" ht="21.75" customHeight="1" thickBot="1" x14ac:dyDescent="0.3">
      <c r="B313" s="1204"/>
      <c r="C313" s="1192"/>
      <c r="D313" s="555"/>
      <c r="E313" s="1199"/>
      <c r="F313" s="1201"/>
      <c r="G313" s="1201"/>
      <c r="H313" s="1209"/>
      <c r="I313" s="1204"/>
      <c r="J313" s="1204"/>
      <c r="K313" s="1204"/>
      <c r="L313" s="1204"/>
      <c r="M313" s="636" t="s">
        <v>123</v>
      </c>
      <c r="N313" s="1249"/>
      <c r="O313" s="561">
        <v>0</v>
      </c>
      <c r="P313" s="562">
        <v>0</v>
      </c>
      <c r="Q313" s="550">
        <v>0</v>
      </c>
    </row>
    <row r="314" spans="2:19" s="48" customFormat="1" ht="21.75" customHeight="1" thickBot="1" x14ac:dyDescent="0.3">
      <c r="B314" s="1204"/>
      <c r="C314" s="1192"/>
      <c r="D314" s="555"/>
      <c r="E314" s="1199"/>
      <c r="F314" s="1201"/>
      <c r="G314" s="1201"/>
      <c r="H314" s="1209"/>
      <c r="I314" s="1204"/>
      <c r="J314" s="1204"/>
      <c r="K314" s="1204"/>
      <c r="L314" s="1204"/>
      <c r="M314" s="672" t="s">
        <v>124</v>
      </c>
      <c r="N314" s="1250"/>
      <c r="O314" s="551">
        <v>0</v>
      </c>
      <c r="P314" s="552">
        <v>0</v>
      </c>
      <c r="Q314" s="549">
        <v>6000</v>
      </c>
    </row>
    <row r="315" spans="2:19" s="48" customFormat="1" ht="21.75" customHeight="1" thickBot="1" x14ac:dyDescent="0.3">
      <c r="B315" s="1241"/>
      <c r="C315" s="1239"/>
      <c r="D315" s="555"/>
      <c r="E315" s="1237"/>
      <c r="F315" s="1235"/>
      <c r="G315" s="1235"/>
      <c r="H315" s="1291"/>
      <c r="I315" s="1205"/>
      <c r="J315" s="1205"/>
      <c r="K315" s="1205"/>
      <c r="L315" s="1205"/>
      <c r="M315" s="547" t="s">
        <v>745</v>
      </c>
      <c r="N315" s="681"/>
      <c r="O315" s="557">
        <v>0</v>
      </c>
      <c r="P315" s="676">
        <v>0</v>
      </c>
      <c r="Q315" s="563">
        <v>0</v>
      </c>
    </row>
    <row r="316" spans="2:19" s="48" customFormat="1" ht="33.75" customHeight="1" thickBot="1" x14ac:dyDescent="0.3">
      <c r="B316" s="1240" t="s">
        <v>64</v>
      </c>
      <c r="C316" s="1238" t="s">
        <v>291</v>
      </c>
      <c r="D316" s="555">
        <v>27302170</v>
      </c>
      <c r="E316" s="1236" t="s">
        <v>200</v>
      </c>
      <c r="F316" s="1234" t="s">
        <v>854</v>
      </c>
      <c r="G316" s="1207" t="s">
        <v>190</v>
      </c>
      <c r="H316" s="1232" t="s">
        <v>240</v>
      </c>
      <c r="I316" s="1206" t="s">
        <v>199</v>
      </c>
      <c r="J316" s="1206" t="s">
        <v>789</v>
      </c>
      <c r="K316" s="1206" t="s">
        <v>199</v>
      </c>
      <c r="L316" s="1206" t="s">
        <v>263</v>
      </c>
      <c r="M316" s="542" t="s">
        <v>122</v>
      </c>
      <c r="N316" s="1248"/>
      <c r="O316" s="551">
        <f>O317+O318</f>
        <v>0</v>
      </c>
      <c r="P316" s="551">
        <f>P317+P318</f>
        <v>0</v>
      </c>
      <c r="Q316" s="552">
        <f>Q317+Q318</f>
        <v>27690.41</v>
      </c>
    </row>
    <row r="317" spans="2:19" s="48" customFormat="1" ht="21.75" customHeight="1" thickBot="1" x14ac:dyDescent="0.3">
      <c r="B317" s="1204"/>
      <c r="C317" s="1192"/>
      <c r="D317" s="555"/>
      <c r="E317" s="1199"/>
      <c r="F317" s="1201"/>
      <c r="G317" s="1199"/>
      <c r="H317" s="1209"/>
      <c r="I317" s="1204"/>
      <c r="J317" s="1204"/>
      <c r="K317" s="1204"/>
      <c r="L317" s="1204"/>
      <c r="M317" s="636" t="s">
        <v>123</v>
      </c>
      <c r="N317" s="1249"/>
      <c r="O317" s="561">
        <v>0</v>
      </c>
      <c r="P317" s="562">
        <v>0</v>
      </c>
      <c r="Q317" s="550">
        <v>0</v>
      </c>
    </row>
    <row r="318" spans="2:19" s="48" customFormat="1" ht="21.75" customHeight="1" thickBot="1" x14ac:dyDescent="0.3">
      <c r="B318" s="1204"/>
      <c r="C318" s="1192"/>
      <c r="D318" s="555"/>
      <c r="E318" s="1199"/>
      <c r="F318" s="1201"/>
      <c r="G318" s="1199"/>
      <c r="H318" s="1209"/>
      <c r="I318" s="1204"/>
      <c r="J318" s="1204"/>
      <c r="K318" s="1204"/>
      <c r="L318" s="1204"/>
      <c r="M318" s="672" t="s">
        <v>124</v>
      </c>
      <c r="N318" s="1250"/>
      <c r="O318" s="551">
        <v>0</v>
      </c>
      <c r="P318" s="552">
        <v>0</v>
      </c>
      <c r="Q318" s="549">
        <v>27690.41</v>
      </c>
    </row>
    <row r="319" spans="2:19" s="48" customFormat="1" ht="21.75" customHeight="1" thickBot="1" x14ac:dyDescent="0.3">
      <c r="B319" s="1241"/>
      <c r="C319" s="1239"/>
      <c r="D319" s="555"/>
      <c r="E319" s="1237"/>
      <c r="F319" s="1235"/>
      <c r="G319" s="1208"/>
      <c r="H319" s="1210"/>
      <c r="I319" s="1205"/>
      <c r="J319" s="1205"/>
      <c r="K319" s="1205"/>
      <c r="L319" s="1205"/>
      <c r="M319" s="547" t="s">
        <v>745</v>
      </c>
      <c r="N319" s="681"/>
      <c r="O319" s="557">
        <v>0</v>
      </c>
      <c r="P319" s="676">
        <v>0</v>
      </c>
      <c r="Q319" s="563">
        <v>0</v>
      </c>
    </row>
    <row r="320" spans="2:19" s="48" customFormat="1" ht="21.75" customHeight="1" thickBot="1" x14ac:dyDescent="0.3">
      <c r="B320" s="1240" t="s">
        <v>64</v>
      </c>
      <c r="C320" s="1238" t="s">
        <v>291</v>
      </c>
      <c r="D320" s="555">
        <v>27302170</v>
      </c>
      <c r="E320" s="1236" t="s">
        <v>204</v>
      </c>
      <c r="F320" s="1234" t="s">
        <v>855</v>
      </c>
      <c r="G320" s="1234" t="s">
        <v>190</v>
      </c>
      <c r="H320" s="1312" t="s">
        <v>240</v>
      </c>
      <c r="I320" s="1206" t="s">
        <v>199</v>
      </c>
      <c r="J320" s="1206" t="s">
        <v>789</v>
      </c>
      <c r="K320" s="1206" t="s">
        <v>199</v>
      </c>
      <c r="L320" s="1206" t="s">
        <v>263</v>
      </c>
      <c r="M320" s="542" t="s">
        <v>122</v>
      </c>
      <c r="N320" s="1248"/>
      <c r="O320" s="551">
        <f>O321+O322</f>
        <v>0</v>
      </c>
      <c r="P320" s="551">
        <f>P321+P322</f>
        <v>0</v>
      </c>
      <c r="Q320" s="552">
        <f>Q321+Q322</f>
        <v>1687</v>
      </c>
      <c r="S320" s="48">
        <v>3</v>
      </c>
    </row>
    <row r="321" spans="2:22" s="48" customFormat="1" ht="21.75" customHeight="1" thickBot="1" x14ac:dyDescent="0.3">
      <c r="B321" s="1204"/>
      <c r="C321" s="1192"/>
      <c r="D321" s="555"/>
      <c r="E321" s="1199"/>
      <c r="F321" s="1201"/>
      <c r="G321" s="1201"/>
      <c r="H321" s="1209"/>
      <c r="I321" s="1204"/>
      <c r="J321" s="1204"/>
      <c r="K321" s="1204"/>
      <c r="L321" s="1204"/>
      <c r="M321" s="636" t="s">
        <v>123</v>
      </c>
      <c r="N321" s="1249"/>
      <c r="O321" s="561">
        <v>0</v>
      </c>
      <c r="P321" s="562">
        <v>0</v>
      </c>
      <c r="Q321" s="550">
        <v>0</v>
      </c>
    </row>
    <row r="322" spans="2:22" s="48" customFormat="1" ht="21.75" customHeight="1" thickBot="1" x14ac:dyDescent="0.3">
      <c r="B322" s="1204"/>
      <c r="C322" s="1192"/>
      <c r="D322" s="555"/>
      <c r="E322" s="1199"/>
      <c r="F322" s="1201"/>
      <c r="G322" s="1201"/>
      <c r="H322" s="1209"/>
      <c r="I322" s="1204"/>
      <c r="J322" s="1204"/>
      <c r="K322" s="1204"/>
      <c r="L322" s="1204"/>
      <c r="M322" s="672" t="s">
        <v>124</v>
      </c>
      <c r="N322" s="1250"/>
      <c r="O322" s="551">
        <v>0</v>
      </c>
      <c r="P322" s="552">
        <v>0</v>
      </c>
      <c r="Q322" s="549">
        <v>1687</v>
      </c>
    </row>
    <row r="323" spans="2:22" s="48" customFormat="1" ht="21.75" customHeight="1" thickBot="1" x14ac:dyDescent="0.3">
      <c r="B323" s="1241"/>
      <c r="C323" s="1239"/>
      <c r="D323" s="555"/>
      <c r="E323" s="1237"/>
      <c r="F323" s="1235"/>
      <c r="G323" s="1235"/>
      <c r="H323" s="1291"/>
      <c r="I323" s="1205"/>
      <c r="J323" s="1205"/>
      <c r="K323" s="1205"/>
      <c r="L323" s="1205"/>
      <c r="M323" s="547" t="s">
        <v>745</v>
      </c>
      <c r="N323" s="681"/>
      <c r="O323" s="557">
        <v>0</v>
      </c>
      <c r="P323" s="676">
        <v>0</v>
      </c>
      <c r="Q323" s="563">
        <v>0</v>
      </c>
    </row>
    <row r="324" spans="2:22" s="48" customFormat="1" ht="21.75" customHeight="1" thickBot="1" x14ac:dyDescent="0.3">
      <c r="B324" s="1240" t="s">
        <v>64</v>
      </c>
      <c r="C324" s="1238" t="s">
        <v>291</v>
      </c>
      <c r="D324" s="555">
        <v>27302170</v>
      </c>
      <c r="E324" s="1236" t="s">
        <v>383</v>
      </c>
      <c r="F324" s="1234" t="s">
        <v>853</v>
      </c>
      <c r="G324" s="1234" t="s">
        <v>190</v>
      </c>
      <c r="H324" s="1312" t="s">
        <v>240</v>
      </c>
      <c r="I324" s="1206" t="s">
        <v>199</v>
      </c>
      <c r="J324" s="1206" t="s">
        <v>789</v>
      </c>
      <c r="K324" s="1206" t="s">
        <v>199</v>
      </c>
      <c r="L324" s="1206" t="s">
        <v>263</v>
      </c>
      <c r="M324" s="542" t="s">
        <v>122</v>
      </c>
      <c r="N324" s="1248"/>
      <c r="O324" s="551">
        <f>O325+O326</f>
        <v>0</v>
      </c>
      <c r="P324" s="551">
        <f>P325+P326</f>
        <v>0</v>
      </c>
      <c r="Q324" s="552">
        <f>Q325+Q326</f>
        <v>1800</v>
      </c>
      <c r="S324" s="48">
        <v>4</v>
      </c>
    </row>
    <row r="325" spans="2:22" s="48" customFormat="1" ht="21.75" customHeight="1" thickBot="1" x14ac:dyDescent="0.3">
      <c r="B325" s="1204"/>
      <c r="C325" s="1192"/>
      <c r="D325" s="555"/>
      <c r="E325" s="1199"/>
      <c r="F325" s="1201"/>
      <c r="G325" s="1201"/>
      <c r="H325" s="1209"/>
      <c r="I325" s="1204"/>
      <c r="J325" s="1204"/>
      <c r="K325" s="1204"/>
      <c r="L325" s="1204"/>
      <c r="M325" s="636" t="s">
        <v>123</v>
      </c>
      <c r="N325" s="1249"/>
      <c r="O325" s="561">
        <v>0</v>
      </c>
      <c r="P325" s="562">
        <v>0</v>
      </c>
      <c r="Q325" s="550">
        <v>0</v>
      </c>
    </row>
    <row r="326" spans="2:22" s="48" customFormat="1" ht="21.75" customHeight="1" thickBot="1" x14ac:dyDescent="0.3">
      <c r="B326" s="1204"/>
      <c r="C326" s="1192"/>
      <c r="D326" s="555"/>
      <c r="E326" s="1199"/>
      <c r="F326" s="1201"/>
      <c r="G326" s="1201"/>
      <c r="H326" s="1209"/>
      <c r="I326" s="1204"/>
      <c r="J326" s="1204"/>
      <c r="K326" s="1204"/>
      <c r="L326" s="1204"/>
      <c r="M326" s="672" t="s">
        <v>124</v>
      </c>
      <c r="N326" s="1250"/>
      <c r="O326" s="551">
        <v>0</v>
      </c>
      <c r="P326" s="552">
        <v>0</v>
      </c>
      <c r="Q326" s="549">
        <v>1800</v>
      </c>
    </row>
    <row r="327" spans="2:22" s="48" customFormat="1" ht="21.75" customHeight="1" thickBot="1" x14ac:dyDescent="0.3">
      <c r="B327" s="1241"/>
      <c r="C327" s="1239"/>
      <c r="D327" s="555"/>
      <c r="E327" s="1237"/>
      <c r="F327" s="1235"/>
      <c r="G327" s="1235"/>
      <c r="H327" s="1291"/>
      <c r="I327" s="1205"/>
      <c r="J327" s="1205"/>
      <c r="K327" s="1205"/>
      <c r="L327" s="1205"/>
      <c r="M327" s="547" t="s">
        <v>745</v>
      </c>
      <c r="N327" s="681"/>
      <c r="O327" s="557">
        <v>0</v>
      </c>
      <c r="P327" s="676">
        <v>0</v>
      </c>
      <c r="Q327" s="563">
        <v>0</v>
      </c>
    </row>
    <row r="328" spans="2:22" s="48" customFormat="1" ht="21.75" customHeight="1" thickBot="1" x14ac:dyDescent="0.3">
      <c r="B328" s="1240" t="s">
        <v>64</v>
      </c>
      <c r="C328" s="1238" t="s">
        <v>291</v>
      </c>
      <c r="D328" s="555">
        <v>27302111</v>
      </c>
      <c r="E328" s="1236" t="s">
        <v>458</v>
      </c>
      <c r="F328" s="1234" t="s">
        <v>856</v>
      </c>
      <c r="G328" s="1234" t="s">
        <v>846</v>
      </c>
      <c r="H328" s="1312" t="s">
        <v>240</v>
      </c>
      <c r="I328" s="1236">
        <v>1</v>
      </c>
      <c r="J328" s="1207" t="s">
        <v>462</v>
      </c>
      <c r="K328" s="1206" t="s">
        <v>199</v>
      </c>
      <c r="L328" s="1206" t="s">
        <v>199</v>
      </c>
      <c r="M328" s="542" t="s">
        <v>122</v>
      </c>
      <c r="N328" s="1248"/>
      <c r="O328" s="551">
        <f>O329+O330</f>
        <v>0</v>
      </c>
      <c r="P328" s="551">
        <f>P329+P330</f>
        <v>0</v>
      </c>
      <c r="Q328" s="552">
        <f>Q329+Q330</f>
        <v>8398</v>
      </c>
      <c r="S328" s="48">
        <v>5</v>
      </c>
    </row>
    <row r="329" spans="2:22" s="48" customFormat="1" ht="21.75" customHeight="1" thickBot="1" x14ac:dyDescent="0.3">
      <c r="B329" s="1204"/>
      <c r="C329" s="1192"/>
      <c r="D329" s="555"/>
      <c r="E329" s="1199"/>
      <c r="F329" s="1201"/>
      <c r="G329" s="1201"/>
      <c r="H329" s="1209"/>
      <c r="I329" s="1199"/>
      <c r="J329" s="1199"/>
      <c r="K329" s="1204"/>
      <c r="L329" s="1204"/>
      <c r="M329" s="636" t="s">
        <v>123</v>
      </c>
      <c r="N329" s="1249"/>
      <c r="O329" s="561">
        <v>0</v>
      </c>
      <c r="P329" s="562">
        <v>0</v>
      </c>
      <c r="Q329" s="550">
        <v>0</v>
      </c>
    </row>
    <row r="330" spans="2:22" s="48" customFormat="1" ht="21.75" customHeight="1" thickBot="1" x14ac:dyDescent="0.3">
      <c r="B330" s="1204"/>
      <c r="C330" s="1192"/>
      <c r="D330" s="555"/>
      <c r="E330" s="1199"/>
      <c r="F330" s="1201"/>
      <c r="G330" s="1201"/>
      <c r="H330" s="1209"/>
      <c r="I330" s="1199"/>
      <c r="J330" s="1199"/>
      <c r="K330" s="1204"/>
      <c r="L330" s="1204"/>
      <c r="M330" s="672" t="s">
        <v>124</v>
      </c>
      <c r="N330" s="1250"/>
      <c r="O330" s="551">
        <v>0</v>
      </c>
      <c r="P330" s="552">
        <v>0</v>
      </c>
      <c r="Q330" s="549">
        <v>8398</v>
      </c>
    </row>
    <row r="331" spans="2:22" s="48" customFormat="1" ht="21.75" customHeight="1" thickBot="1" x14ac:dyDescent="0.3">
      <c r="B331" s="1241"/>
      <c r="C331" s="1239"/>
      <c r="D331" s="555"/>
      <c r="E331" s="1237"/>
      <c r="F331" s="1235"/>
      <c r="G331" s="1235"/>
      <c r="H331" s="1291"/>
      <c r="I331" s="1237"/>
      <c r="J331" s="1208"/>
      <c r="K331" s="1204"/>
      <c r="L331" s="1204"/>
      <c r="M331" s="547" t="s">
        <v>745</v>
      </c>
      <c r="N331" s="681"/>
      <c r="O331" s="557">
        <v>0</v>
      </c>
      <c r="P331" s="676">
        <v>0</v>
      </c>
      <c r="Q331" s="563">
        <v>0</v>
      </c>
    </row>
    <row r="332" spans="2:22" ht="27.75" customHeight="1" thickBot="1" x14ac:dyDescent="0.3">
      <c r="B332" s="1240" t="s">
        <v>64</v>
      </c>
      <c r="C332" s="1238" t="s">
        <v>295</v>
      </c>
      <c r="D332" s="555" t="s">
        <v>116</v>
      </c>
      <c r="E332" s="1236" t="s">
        <v>116</v>
      </c>
      <c r="F332" s="1234" t="s">
        <v>280</v>
      </c>
      <c r="G332" s="1236" t="s">
        <v>116</v>
      </c>
      <c r="H332" s="1312" t="s">
        <v>116</v>
      </c>
      <c r="I332" s="1236" t="s">
        <v>116</v>
      </c>
      <c r="J332" s="1236" t="s">
        <v>116</v>
      </c>
      <c r="K332" s="1236" t="s">
        <v>116</v>
      </c>
      <c r="L332" s="1236" t="s">
        <v>116</v>
      </c>
      <c r="M332" s="542" t="s">
        <v>122</v>
      </c>
      <c r="N332" s="543"/>
      <c r="O332" s="544">
        <f t="shared" ref="O332:Q335" si="7">O336+O340+O344+O348+O352+O360+O364+O368+O356</f>
        <v>1489.45</v>
      </c>
      <c r="P332" s="544">
        <f t="shared" si="7"/>
        <v>0</v>
      </c>
      <c r="Q332" s="675">
        <f t="shared" si="7"/>
        <v>0</v>
      </c>
      <c r="R332" s="48"/>
      <c r="S332" s="48"/>
      <c r="T332" s="48"/>
      <c r="U332" s="48"/>
      <c r="V332" s="48"/>
    </row>
    <row r="333" spans="2:22" ht="24" customHeight="1" thickBot="1" x14ac:dyDescent="0.3">
      <c r="B333" s="1204"/>
      <c r="C333" s="1192"/>
      <c r="D333" s="555"/>
      <c r="E333" s="1199"/>
      <c r="F333" s="1201"/>
      <c r="G333" s="1199"/>
      <c r="H333" s="1209"/>
      <c r="I333" s="1199"/>
      <c r="J333" s="1199"/>
      <c r="K333" s="1199"/>
      <c r="L333" s="1199"/>
      <c r="M333" s="636" t="s">
        <v>123</v>
      </c>
      <c r="N333" s="549"/>
      <c r="O333" s="544">
        <f t="shared" si="7"/>
        <v>0</v>
      </c>
      <c r="P333" s="544">
        <f t="shared" si="7"/>
        <v>0</v>
      </c>
      <c r="Q333" s="675">
        <f t="shared" si="7"/>
        <v>0</v>
      </c>
      <c r="R333" s="48"/>
      <c r="S333" s="48"/>
      <c r="T333" s="48"/>
      <c r="U333" s="48"/>
      <c r="V333" s="48"/>
    </row>
    <row r="334" spans="2:22" ht="22.5" customHeight="1" thickBot="1" x14ac:dyDescent="0.3">
      <c r="B334" s="1204"/>
      <c r="C334" s="1192"/>
      <c r="D334" s="555"/>
      <c r="E334" s="1199"/>
      <c r="F334" s="1201"/>
      <c r="G334" s="1199"/>
      <c r="H334" s="1209"/>
      <c r="I334" s="1199"/>
      <c r="J334" s="1199"/>
      <c r="K334" s="1199"/>
      <c r="L334" s="1199"/>
      <c r="M334" s="672" t="s">
        <v>124</v>
      </c>
      <c r="N334" s="550"/>
      <c r="O334" s="544">
        <f t="shared" si="7"/>
        <v>1489.45</v>
      </c>
      <c r="P334" s="544">
        <f t="shared" si="7"/>
        <v>0</v>
      </c>
      <c r="Q334" s="675">
        <f t="shared" si="7"/>
        <v>0</v>
      </c>
      <c r="R334" s="48"/>
      <c r="S334" s="48"/>
      <c r="T334" s="48"/>
      <c r="U334" s="48"/>
      <c r="V334" s="48"/>
    </row>
    <row r="335" spans="2:22" ht="24" customHeight="1" thickBot="1" x14ac:dyDescent="0.3">
      <c r="B335" s="1241"/>
      <c r="C335" s="1239"/>
      <c r="D335" s="555"/>
      <c r="E335" s="1237"/>
      <c r="F335" s="1235"/>
      <c r="G335" s="1237"/>
      <c r="H335" s="1291"/>
      <c r="I335" s="1237"/>
      <c r="J335" s="1237"/>
      <c r="K335" s="1237"/>
      <c r="L335" s="1237"/>
      <c r="M335" s="547" t="s">
        <v>745</v>
      </c>
      <c r="N335" s="549"/>
      <c r="O335" s="544">
        <f t="shared" si="7"/>
        <v>14160.663</v>
      </c>
      <c r="P335" s="544">
        <f t="shared" si="7"/>
        <v>0</v>
      </c>
      <c r="Q335" s="675">
        <f t="shared" si="7"/>
        <v>0</v>
      </c>
      <c r="R335" s="48"/>
      <c r="S335" s="48"/>
      <c r="T335" s="48"/>
      <c r="U335" s="48"/>
      <c r="V335" s="48"/>
    </row>
    <row r="336" spans="2:22" ht="34.5" customHeight="1" thickBot="1" x14ac:dyDescent="0.3">
      <c r="B336" s="1240" t="s">
        <v>64</v>
      </c>
      <c r="C336" s="1238" t="s">
        <v>295</v>
      </c>
      <c r="D336" s="555">
        <v>27301830</v>
      </c>
      <c r="E336" s="1236" t="s">
        <v>458</v>
      </c>
      <c r="F336" s="1200" t="s">
        <v>756</v>
      </c>
      <c r="G336" s="1200" t="s">
        <v>640</v>
      </c>
      <c r="H336" s="1312" t="s">
        <v>240</v>
      </c>
      <c r="I336" s="1236" t="s">
        <v>374</v>
      </c>
      <c r="J336" s="1240" t="s">
        <v>462</v>
      </c>
      <c r="K336" s="1206" t="s">
        <v>199</v>
      </c>
      <c r="L336" s="1206" t="s">
        <v>199</v>
      </c>
      <c r="M336" s="542" t="s">
        <v>122</v>
      </c>
      <c r="N336" s="543"/>
      <c r="O336" s="544">
        <f>O337+O338</f>
        <v>0</v>
      </c>
      <c r="P336" s="544">
        <f>P337+P338</f>
        <v>0</v>
      </c>
      <c r="Q336" s="675">
        <f>Q337+Q338</f>
        <v>0</v>
      </c>
      <c r="R336" s="48"/>
      <c r="S336" s="48"/>
      <c r="T336" s="48"/>
      <c r="U336" s="48"/>
      <c r="V336" s="48"/>
    </row>
    <row r="337" spans="2:22" ht="23.25" customHeight="1" thickBot="1" x14ac:dyDescent="0.3">
      <c r="B337" s="1204"/>
      <c r="C337" s="1192"/>
      <c r="D337" s="555"/>
      <c r="E337" s="1199"/>
      <c r="F337" s="1201"/>
      <c r="G337" s="1201"/>
      <c r="H337" s="1209"/>
      <c r="I337" s="1199"/>
      <c r="J337" s="1204"/>
      <c r="K337" s="1204"/>
      <c r="L337" s="1204"/>
      <c r="M337" s="636" t="s">
        <v>123</v>
      </c>
      <c r="N337" s="549"/>
      <c r="O337" s="544">
        <v>0</v>
      </c>
      <c r="P337" s="544">
        <v>0</v>
      </c>
      <c r="Q337" s="675">
        <v>0</v>
      </c>
      <c r="R337" s="48"/>
      <c r="S337" s="48"/>
      <c r="T337" s="48"/>
      <c r="U337" s="48"/>
      <c r="V337" s="48"/>
    </row>
    <row r="338" spans="2:22" ht="21.75" customHeight="1" thickBot="1" x14ac:dyDescent="0.3">
      <c r="B338" s="1204"/>
      <c r="C338" s="1192"/>
      <c r="D338" s="555"/>
      <c r="E338" s="1199"/>
      <c r="F338" s="1201"/>
      <c r="G338" s="1201"/>
      <c r="H338" s="1209"/>
      <c r="I338" s="1199"/>
      <c r="J338" s="1204"/>
      <c r="K338" s="1204"/>
      <c r="L338" s="1204"/>
      <c r="M338" s="672" t="s">
        <v>124</v>
      </c>
      <c r="N338" s="550"/>
      <c r="O338" s="544">
        <v>0</v>
      </c>
      <c r="P338" s="544">
        <v>0</v>
      </c>
      <c r="Q338" s="675">
        <v>0</v>
      </c>
      <c r="R338" s="48"/>
      <c r="S338" s="48"/>
      <c r="T338" s="48"/>
      <c r="U338" s="48"/>
      <c r="V338" s="48"/>
    </row>
    <row r="339" spans="2:22" ht="20.25" customHeight="1" thickBot="1" x14ac:dyDescent="0.3">
      <c r="B339" s="1241"/>
      <c r="C339" s="1239"/>
      <c r="D339" s="555"/>
      <c r="E339" s="1237"/>
      <c r="F339" s="1202"/>
      <c r="G339" s="1202"/>
      <c r="H339" s="1291"/>
      <c r="I339" s="1237"/>
      <c r="J339" s="1241"/>
      <c r="K339" s="1204"/>
      <c r="L339" s="1204"/>
      <c r="M339" s="547" t="s">
        <v>745</v>
      </c>
      <c r="N339" s="549"/>
      <c r="O339" s="551">
        <v>72.623999999999995</v>
      </c>
      <c r="P339" s="551">
        <v>0</v>
      </c>
      <c r="Q339" s="552">
        <v>0</v>
      </c>
      <c r="R339" s="48"/>
      <c r="S339" s="48"/>
      <c r="T339" s="48"/>
      <c r="U339" s="48"/>
      <c r="V339" s="48"/>
    </row>
    <row r="340" spans="2:22" ht="25.5" customHeight="1" thickBot="1" x14ac:dyDescent="0.3">
      <c r="B340" s="1240" t="s">
        <v>64</v>
      </c>
      <c r="C340" s="1238" t="s">
        <v>295</v>
      </c>
      <c r="D340" s="555">
        <v>27301830</v>
      </c>
      <c r="E340" s="1236" t="s">
        <v>458</v>
      </c>
      <c r="F340" s="1200" t="s">
        <v>690</v>
      </c>
      <c r="G340" s="1200" t="s">
        <v>692</v>
      </c>
      <c r="H340" s="1312" t="s">
        <v>240</v>
      </c>
      <c r="I340" s="1236" t="s">
        <v>263</v>
      </c>
      <c r="J340" s="1240" t="s">
        <v>462</v>
      </c>
      <c r="K340" s="1206" t="s">
        <v>199</v>
      </c>
      <c r="L340" s="1206" t="s">
        <v>199</v>
      </c>
      <c r="M340" s="542" t="s">
        <v>122</v>
      </c>
      <c r="N340" s="543"/>
      <c r="O340" s="544">
        <f>O341+O342</f>
        <v>0</v>
      </c>
      <c r="P340" s="544">
        <f>P341+P342</f>
        <v>0</v>
      </c>
      <c r="Q340" s="675">
        <f>Q341+Q342</f>
        <v>0</v>
      </c>
      <c r="R340" s="48"/>
      <c r="S340" s="48"/>
      <c r="T340" s="48"/>
      <c r="U340" s="48"/>
      <c r="V340" s="48"/>
    </row>
    <row r="341" spans="2:22" ht="21" customHeight="1" thickBot="1" x14ac:dyDescent="0.3">
      <c r="B341" s="1204"/>
      <c r="C341" s="1192"/>
      <c r="D341" s="555"/>
      <c r="E341" s="1199"/>
      <c r="F341" s="1201"/>
      <c r="G341" s="1201"/>
      <c r="H341" s="1209"/>
      <c r="I341" s="1199"/>
      <c r="J341" s="1204"/>
      <c r="K341" s="1204"/>
      <c r="L341" s="1204"/>
      <c r="M341" s="636" t="s">
        <v>123</v>
      </c>
      <c r="N341" s="549"/>
      <c r="O341" s="544">
        <v>0</v>
      </c>
      <c r="P341" s="544">
        <v>0</v>
      </c>
      <c r="Q341" s="675">
        <v>0</v>
      </c>
      <c r="R341" s="48"/>
      <c r="S341" s="48"/>
      <c r="T341" s="48"/>
      <c r="U341" s="48"/>
      <c r="V341" s="48"/>
    </row>
    <row r="342" spans="2:22" ht="22.5" customHeight="1" thickBot="1" x14ac:dyDescent="0.3">
      <c r="B342" s="1204"/>
      <c r="C342" s="1192"/>
      <c r="D342" s="555"/>
      <c r="E342" s="1199"/>
      <c r="F342" s="1201"/>
      <c r="G342" s="1201"/>
      <c r="H342" s="1209"/>
      <c r="I342" s="1199"/>
      <c r="J342" s="1204"/>
      <c r="K342" s="1204"/>
      <c r="L342" s="1204"/>
      <c r="M342" s="672" t="s">
        <v>124</v>
      </c>
      <c r="N342" s="550"/>
      <c r="O342" s="544">
        <v>0</v>
      </c>
      <c r="P342" s="544">
        <v>0</v>
      </c>
      <c r="Q342" s="675">
        <v>0</v>
      </c>
      <c r="R342" s="48"/>
      <c r="S342" s="48"/>
      <c r="T342" s="48"/>
      <c r="U342" s="48"/>
      <c r="V342" s="48"/>
    </row>
    <row r="343" spans="2:22" ht="21" customHeight="1" thickBot="1" x14ac:dyDescent="0.3">
      <c r="B343" s="1241"/>
      <c r="C343" s="1239"/>
      <c r="D343" s="555"/>
      <c r="E343" s="1237"/>
      <c r="F343" s="1235"/>
      <c r="G343" s="1235"/>
      <c r="H343" s="1291"/>
      <c r="I343" s="1237"/>
      <c r="J343" s="1241"/>
      <c r="K343" s="1204"/>
      <c r="L343" s="1204"/>
      <c r="M343" s="547" t="s">
        <v>745</v>
      </c>
      <c r="N343" s="549"/>
      <c r="O343" s="551">
        <v>80</v>
      </c>
      <c r="P343" s="551">
        <v>0</v>
      </c>
      <c r="Q343" s="552">
        <v>0</v>
      </c>
      <c r="R343" s="48"/>
      <c r="S343" s="48"/>
      <c r="T343" s="48"/>
      <c r="U343" s="48"/>
      <c r="V343" s="48"/>
    </row>
    <row r="344" spans="2:22" ht="25.5" customHeight="1" thickBot="1" x14ac:dyDescent="0.3">
      <c r="B344" s="1240" t="s">
        <v>64</v>
      </c>
      <c r="C344" s="1238" t="s">
        <v>295</v>
      </c>
      <c r="D344" s="555">
        <v>27301830</v>
      </c>
      <c r="E344" s="1236" t="s">
        <v>458</v>
      </c>
      <c r="F344" s="1234" t="s">
        <v>757</v>
      </c>
      <c r="G344" s="1234" t="s">
        <v>755</v>
      </c>
      <c r="H344" s="1312" t="s">
        <v>240</v>
      </c>
      <c r="I344" s="1236">
        <v>8</v>
      </c>
      <c r="J344" s="1240" t="s">
        <v>462</v>
      </c>
      <c r="K344" s="1206" t="s">
        <v>199</v>
      </c>
      <c r="L344" s="1206" t="s">
        <v>199</v>
      </c>
      <c r="M344" s="542" t="s">
        <v>122</v>
      </c>
      <c r="N344" s="543"/>
      <c r="O344" s="544">
        <f>O345+O346</f>
        <v>0</v>
      </c>
      <c r="P344" s="544">
        <f>P345+P346</f>
        <v>0</v>
      </c>
      <c r="Q344" s="675">
        <f>Q345+Q346</f>
        <v>0</v>
      </c>
      <c r="R344" s="48"/>
      <c r="S344" s="48"/>
      <c r="T344" s="48"/>
      <c r="U344" s="48"/>
      <c r="V344" s="48"/>
    </row>
    <row r="345" spans="2:22" ht="27" customHeight="1" thickBot="1" x14ac:dyDescent="0.3">
      <c r="B345" s="1204"/>
      <c r="C345" s="1192"/>
      <c r="D345" s="555"/>
      <c r="E345" s="1199"/>
      <c r="F345" s="1201"/>
      <c r="G345" s="1201"/>
      <c r="H345" s="1209"/>
      <c r="I345" s="1199"/>
      <c r="J345" s="1204"/>
      <c r="K345" s="1204"/>
      <c r="L345" s="1204"/>
      <c r="M345" s="636" t="s">
        <v>123</v>
      </c>
      <c r="N345" s="549"/>
      <c r="O345" s="544">
        <v>0</v>
      </c>
      <c r="P345" s="544">
        <v>0</v>
      </c>
      <c r="Q345" s="675">
        <v>0</v>
      </c>
      <c r="R345" s="48"/>
      <c r="S345" s="48"/>
      <c r="T345" s="48"/>
      <c r="U345" s="48"/>
      <c r="V345" s="48"/>
    </row>
    <row r="346" spans="2:22" ht="23.25" customHeight="1" thickBot="1" x14ac:dyDescent="0.3">
      <c r="B346" s="1204"/>
      <c r="C346" s="1192"/>
      <c r="D346" s="555"/>
      <c r="E346" s="1199"/>
      <c r="F346" s="1201"/>
      <c r="G346" s="1201"/>
      <c r="H346" s="1209"/>
      <c r="I346" s="1199"/>
      <c r="J346" s="1204"/>
      <c r="K346" s="1204"/>
      <c r="L346" s="1204"/>
      <c r="M346" s="672" t="s">
        <v>124</v>
      </c>
      <c r="N346" s="550"/>
      <c r="O346" s="544">
        <v>0</v>
      </c>
      <c r="P346" s="544">
        <v>0</v>
      </c>
      <c r="Q346" s="675">
        <v>0</v>
      </c>
      <c r="R346" s="48"/>
      <c r="S346" s="48"/>
      <c r="T346" s="48"/>
      <c r="U346" s="48"/>
      <c r="V346" s="48"/>
    </row>
    <row r="347" spans="2:22" ht="25.5" customHeight="1" thickBot="1" x14ac:dyDescent="0.3">
      <c r="B347" s="1241"/>
      <c r="C347" s="1239"/>
      <c r="D347" s="555"/>
      <c r="E347" s="1237"/>
      <c r="F347" s="1235"/>
      <c r="G347" s="1235"/>
      <c r="H347" s="1291"/>
      <c r="I347" s="1237"/>
      <c r="J347" s="1241"/>
      <c r="K347" s="1204"/>
      <c r="L347" s="1204"/>
      <c r="M347" s="547" t="s">
        <v>745</v>
      </c>
      <c r="N347" s="549"/>
      <c r="O347" s="551">
        <v>736.29399999999998</v>
      </c>
      <c r="P347" s="551">
        <v>0</v>
      </c>
      <c r="Q347" s="552">
        <v>0</v>
      </c>
      <c r="R347" s="48"/>
      <c r="S347" s="48"/>
      <c r="T347" s="48"/>
      <c r="U347" s="48"/>
      <c r="V347" s="48"/>
    </row>
    <row r="348" spans="2:22" ht="22.5" customHeight="1" thickBot="1" x14ac:dyDescent="0.3">
      <c r="B348" s="1240" t="s">
        <v>64</v>
      </c>
      <c r="C348" s="1238" t="s">
        <v>295</v>
      </c>
      <c r="D348" s="555" t="s">
        <v>379</v>
      </c>
      <c r="E348" s="1236" t="s">
        <v>429</v>
      </c>
      <c r="F348" s="1234" t="s">
        <v>758</v>
      </c>
      <c r="G348" s="1234" t="s">
        <v>190</v>
      </c>
      <c r="H348" s="1312" t="s">
        <v>240</v>
      </c>
      <c r="I348" s="1236" t="s">
        <v>263</v>
      </c>
      <c r="J348" s="1236" t="s">
        <v>462</v>
      </c>
      <c r="K348" s="1206" t="s">
        <v>199</v>
      </c>
      <c r="L348" s="1206" t="s">
        <v>199</v>
      </c>
      <c r="M348" s="542" t="s">
        <v>122</v>
      </c>
      <c r="N348" s="543"/>
      <c r="O348" s="544">
        <f>O349+O350</f>
        <v>0</v>
      </c>
      <c r="P348" s="544">
        <f>P349+P350</f>
        <v>0</v>
      </c>
      <c r="Q348" s="675">
        <f>Q349+Q350</f>
        <v>0</v>
      </c>
      <c r="R348" s="48"/>
      <c r="S348" s="48"/>
      <c r="T348" s="48"/>
      <c r="U348" s="48"/>
      <c r="V348" s="48"/>
    </row>
    <row r="349" spans="2:22" ht="24.75" customHeight="1" thickBot="1" x14ac:dyDescent="0.3">
      <c r="B349" s="1204"/>
      <c r="C349" s="1192"/>
      <c r="D349" s="555"/>
      <c r="E349" s="1199"/>
      <c r="F349" s="1201"/>
      <c r="G349" s="1201"/>
      <c r="H349" s="1209"/>
      <c r="I349" s="1199"/>
      <c r="J349" s="1199"/>
      <c r="K349" s="1204"/>
      <c r="L349" s="1204"/>
      <c r="M349" s="636" t="s">
        <v>123</v>
      </c>
      <c r="N349" s="549"/>
      <c r="O349" s="544">
        <v>0</v>
      </c>
      <c r="P349" s="544">
        <v>0</v>
      </c>
      <c r="Q349" s="675">
        <v>0</v>
      </c>
      <c r="R349" s="48"/>
      <c r="S349" s="48"/>
      <c r="T349" s="48"/>
      <c r="U349" s="48"/>
      <c r="V349" s="48"/>
    </row>
    <row r="350" spans="2:22" ht="24" customHeight="1" thickBot="1" x14ac:dyDescent="0.3">
      <c r="B350" s="1204"/>
      <c r="C350" s="1192"/>
      <c r="D350" s="555"/>
      <c r="E350" s="1199"/>
      <c r="F350" s="1201"/>
      <c r="G350" s="1201"/>
      <c r="H350" s="1209"/>
      <c r="I350" s="1199"/>
      <c r="J350" s="1199"/>
      <c r="K350" s="1204"/>
      <c r="L350" s="1204"/>
      <c r="M350" s="672" t="s">
        <v>124</v>
      </c>
      <c r="N350" s="550"/>
      <c r="O350" s="544">
        <v>0</v>
      </c>
      <c r="P350" s="544">
        <v>0</v>
      </c>
      <c r="Q350" s="675">
        <v>0</v>
      </c>
      <c r="R350" s="48"/>
      <c r="S350" s="48"/>
      <c r="T350" s="48"/>
      <c r="U350" s="48"/>
      <c r="V350" s="48"/>
    </row>
    <row r="351" spans="2:22" ht="24" customHeight="1" thickBot="1" x14ac:dyDescent="0.3">
      <c r="B351" s="1241"/>
      <c r="C351" s="1239"/>
      <c r="D351" s="555"/>
      <c r="E351" s="1237"/>
      <c r="F351" s="1235"/>
      <c r="G351" s="1235"/>
      <c r="H351" s="1291"/>
      <c r="I351" s="1237"/>
      <c r="J351" s="1237"/>
      <c r="K351" s="1204"/>
      <c r="L351" s="1204"/>
      <c r="M351" s="547" t="s">
        <v>745</v>
      </c>
      <c r="N351" s="549"/>
      <c r="O351" s="551">
        <v>880</v>
      </c>
      <c r="P351" s="551">
        <v>0</v>
      </c>
      <c r="Q351" s="552">
        <v>0</v>
      </c>
      <c r="R351" s="48"/>
      <c r="S351" s="48"/>
      <c r="T351" s="48"/>
      <c r="U351" s="48"/>
      <c r="V351" s="48"/>
    </row>
    <row r="352" spans="2:22" ht="30.75" customHeight="1" thickBot="1" x14ac:dyDescent="0.3">
      <c r="B352" s="1240" t="s">
        <v>64</v>
      </c>
      <c r="C352" s="1238" t="s">
        <v>295</v>
      </c>
      <c r="D352" s="555">
        <v>27302111</v>
      </c>
      <c r="E352" s="1236" t="s">
        <v>203</v>
      </c>
      <c r="F352" s="1234" t="s">
        <v>283</v>
      </c>
      <c r="G352" s="1234" t="s">
        <v>255</v>
      </c>
      <c r="H352" s="1312" t="s">
        <v>240</v>
      </c>
      <c r="I352" s="1236">
        <v>1</v>
      </c>
      <c r="J352" s="1236" t="s">
        <v>462</v>
      </c>
      <c r="K352" s="1206" t="s">
        <v>199</v>
      </c>
      <c r="L352" s="1206" t="s">
        <v>199</v>
      </c>
      <c r="M352" s="542" t="s">
        <v>122</v>
      </c>
      <c r="N352" s="543"/>
      <c r="O352" s="544">
        <f>O353+O354+O355</f>
        <v>843.57</v>
      </c>
      <c r="P352" s="544">
        <f>P353+P354+P355</f>
        <v>0</v>
      </c>
      <c r="Q352" s="675">
        <f>Q353+Q354+Q355</f>
        <v>0</v>
      </c>
      <c r="R352" s="48"/>
      <c r="S352" s="48"/>
      <c r="T352" s="48"/>
      <c r="U352" s="48"/>
      <c r="V352" s="48"/>
    </row>
    <row r="353" spans="2:22" ht="30.75" customHeight="1" thickBot="1" x14ac:dyDescent="0.3">
      <c r="B353" s="1204"/>
      <c r="C353" s="1192"/>
      <c r="D353" s="555"/>
      <c r="E353" s="1199"/>
      <c r="F353" s="1201"/>
      <c r="G353" s="1201"/>
      <c r="H353" s="1209"/>
      <c r="I353" s="1199"/>
      <c r="J353" s="1199"/>
      <c r="K353" s="1204"/>
      <c r="L353" s="1204"/>
      <c r="M353" s="636" t="s">
        <v>123</v>
      </c>
      <c r="N353" s="549"/>
      <c r="O353" s="544">
        <v>0</v>
      </c>
      <c r="P353" s="544">
        <v>0</v>
      </c>
      <c r="Q353" s="675">
        <v>0</v>
      </c>
      <c r="R353" s="48"/>
      <c r="S353" s="48"/>
      <c r="T353" s="48"/>
      <c r="U353" s="48"/>
      <c r="V353" s="48"/>
    </row>
    <row r="354" spans="2:22" ht="27.75" customHeight="1" thickBot="1" x14ac:dyDescent="0.3">
      <c r="B354" s="1204"/>
      <c r="C354" s="1192"/>
      <c r="D354" s="555"/>
      <c r="E354" s="1199"/>
      <c r="F354" s="1201"/>
      <c r="G354" s="1201"/>
      <c r="H354" s="1209"/>
      <c r="I354" s="1199"/>
      <c r="J354" s="1199"/>
      <c r="K354" s="1204"/>
      <c r="L354" s="1204"/>
      <c r="M354" s="672" t="s">
        <v>124</v>
      </c>
      <c r="N354" s="550"/>
      <c r="O354" s="544">
        <v>843.57</v>
      </c>
      <c r="P354" s="544">
        <v>0</v>
      </c>
      <c r="Q354" s="675">
        <v>0</v>
      </c>
      <c r="R354" s="48"/>
      <c r="S354" s="48"/>
      <c r="T354" s="48"/>
      <c r="U354" s="48"/>
      <c r="V354" s="48"/>
    </row>
    <row r="355" spans="2:22" ht="24.75" customHeight="1" thickBot="1" x14ac:dyDescent="0.3">
      <c r="B355" s="1241"/>
      <c r="C355" s="1239"/>
      <c r="D355" s="555"/>
      <c r="E355" s="1237"/>
      <c r="F355" s="1235"/>
      <c r="G355" s="1235"/>
      <c r="H355" s="1291"/>
      <c r="I355" s="1237"/>
      <c r="J355" s="1237"/>
      <c r="K355" s="1204"/>
      <c r="L355" s="1204"/>
      <c r="M355" s="547" t="s">
        <v>745</v>
      </c>
      <c r="N355" s="549"/>
      <c r="O355" s="551">
        <v>0</v>
      </c>
      <c r="P355" s="551">
        <v>0</v>
      </c>
      <c r="Q355" s="552">
        <v>0</v>
      </c>
      <c r="R355" s="48"/>
      <c r="S355" s="48"/>
      <c r="T355" s="48"/>
      <c r="U355" s="48"/>
      <c r="V355" s="48"/>
    </row>
    <row r="356" spans="2:22" ht="43.5" customHeight="1" thickBot="1" x14ac:dyDescent="0.3">
      <c r="B356" s="1240" t="s">
        <v>64</v>
      </c>
      <c r="C356" s="1238" t="s">
        <v>295</v>
      </c>
      <c r="D356" s="555">
        <v>27302111</v>
      </c>
      <c r="E356" s="1236" t="s">
        <v>203</v>
      </c>
      <c r="F356" s="1234" t="s">
        <v>754</v>
      </c>
      <c r="G356" s="1234" t="s">
        <v>435</v>
      </c>
      <c r="H356" s="1312" t="s">
        <v>240</v>
      </c>
      <c r="I356" s="1236">
        <v>1</v>
      </c>
      <c r="J356" s="1236" t="s">
        <v>462</v>
      </c>
      <c r="K356" s="1206" t="s">
        <v>199</v>
      </c>
      <c r="L356" s="1206" t="s">
        <v>199</v>
      </c>
      <c r="M356" s="542" t="s">
        <v>122</v>
      </c>
      <c r="N356" s="543"/>
      <c r="O356" s="544">
        <f>O357+O358</f>
        <v>0</v>
      </c>
      <c r="P356" s="544">
        <f>P357+P358</f>
        <v>0</v>
      </c>
      <c r="Q356" s="675">
        <f>Q357+Q358</f>
        <v>0</v>
      </c>
      <c r="R356" s="48"/>
      <c r="S356" s="48"/>
      <c r="T356" s="48"/>
      <c r="U356" s="48"/>
      <c r="V356" s="48"/>
    </row>
    <row r="357" spans="2:22" ht="24.75" customHeight="1" thickBot="1" x14ac:dyDescent="0.3">
      <c r="B357" s="1204"/>
      <c r="C357" s="1192"/>
      <c r="D357" s="555"/>
      <c r="E357" s="1199"/>
      <c r="F357" s="1201"/>
      <c r="G357" s="1201"/>
      <c r="H357" s="1209"/>
      <c r="I357" s="1199"/>
      <c r="J357" s="1199"/>
      <c r="K357" s="1204"/>
      <c r="L357" s="1204"/>
      <c r="M357" s="636" t="s">
        <v>123</v>
      </c>
      <c r="N357" s="549"/>
      <c r="O357" s="544">
        <v>0</v>
      </c>
      <c r="P357" s="544">
        <v>0</v>
      </c>
      <c r="Q357" s="675">
        <v>0</v>
      </c>
      <c r="R357" s="48"/>
      <c r="S357" s="48"/>
      <c r="T357" s="48"/>
      <c r="U357" s="48"/>
      <c r="V357" s="48"/>
    </row>
    <row r="358" spans="2:22" ht="24.75" customHeight="1" thickBot="1" x14ac:dyDescent="0.3">
      <c r="B358" s="1204"/>
      <c r="C358" s="1192"/>
      <c r="D358" s="555"/>
      <c r="E358" s="1199"/>
      <c r="F358" s="1201"/>
      <c r="G358" s="1201"/>
      <c r="H358" s="1209"/>
      <c r="I358" s="1199"/>
      <c r="J358" s="1199"/>
      <c r="K358" s="1204"/>
      <c r="L358" s="1204"/>
      <c r="M358" s="672" t="s">
        <v>124</v>
      </c>
      <c r="N358" s="550"/>
      <c r="O358" s="544">
        <v>0</v>
      </c>
      <c r="P358" s="544">
        <v>0</v>
      </c>
      <c r="Q358" s="675">
        <v>0</v>
      </c>
      <c r="R358" s="48"/>
      <c r="S358" s="48"/>
      <c r="T358" s="48"/>
      <c r="U358" s="48"/>
      <c r="V358" s="48"/>
    </row>
    <row r="359" spans="2:22" ht="24.75" customHeight="1" thickBot="1" x14ac:dyDescent="0.3">
      <c r="B359" s="1241"/>
      <c r="C359" s="1239"/>
      <c r="D359" s="555"/>
      <c r="E359" s="1237"/>
      <c r="F359" s="1235"/>
      <c r="G359" s="1235"/>
      <c r="H359" s="1291"/>
      <c r="I359" s="1237"/>
      <c r="J359" s="1237"/>
      <c r="K359" s="1204"/>
      <c r="L359" s="1204"/>
      <c r="M359" s="547" t="s">
        <v>745</v>
      </c>
      <c r="N359" s="549"/>
      <c r="O359" s="551">
        <v>12391.745000000001</v>
      </c>
      <c r="P359" s="551">
        <v>0</v>
      </c>
      <c r="Q359" s="552">
        <v>0</v>
      </c>
      <c r="R359" s="48"/>
      <c r="S359" s="48"/>
      <c r="T359" s="48"/>
      <c r="U359" s="48"/>
      <c r="V359" s="48"/>
    </row>
    <row r="360" spans="2:22" ht="30" customHeight="1" thickBot="1" x14ac:dyDescent="0.3">
      <c r="B360" s="1240" t="s">
        <v>64</v>
      </c>
      <c r="C360" s="1238" t="s">
        <v>295</v>
      </c>
      <c r="D360" s="555">
        <v>27301848</v>
      </c>
      <c r="E360" s="1236" t="s">
        <v>204</v>
      </c>
      <c r="F360" s="1234" t="s">
        <v>740</v>
      </c>
      <c r="G360" s="1234" t="s">
        <v>428</v>
      </c>
      <c r="H360" s="1312" t="s">
        <v>240</v>
      </c>
      <c r="I360" s="1236">
        <v>1</v>
      </c>
      <c r="J360" s="1236" t="s">
        <v>462</v>
      </c>
      <c r="K360" s="1206" t="s">
        <v>199</v>
      </c>
      <c r="L360" s="1206" t="s">
        <v>199</v>
      </c>
      <c r="M360" s="542" t="s">
        <v>122</v>
      </c>
      <c r="N360" s="543"/>
      <c r="O360" s="544">
        <f>O361+O362+O363</f>
        <v>39.9</v>
      </c>
      <c r="P360" s="544">
        <f>P361+P362+P363</f>
        <v>0</v>
      </c>
      <c r="Q360" s="675">
        <f>Q361+Q362+Q363</f>
        <v>0</v>
      </c>
      <c r="R360" s="48"/>
      <c r="S360" s="48"/>
      <c r="T360" s="48"/>
      <c r="U360" s="48"/>
      <c r="V360" s="48"/>
    </row>
    <row r="361" spans="2:22" ht="29.25" customHeight="1" thickBot="1" x14ac:dyDescent="0.3">
      <c r="B361" s="1204"/>
      <c r="C361" s="1192"/>
      <c r="D361" s="555"/>
      <c r="E361" s="1199"/>
      <c r="F361" s="1201"/>
      <c r="G361" s="1201"/>
      <c r="H361" s="1209"/>
      <c r="I361" s="1199"/>
      <c r="J361" s="1199"/>
      <c r="K361" s="1204"/>
      <c r="L361" s="1204"/>
      <c r="M361" s="636" t="s">
        <v>123</v>
      </c>
      <c r="N361" s="549"/>
      <c r="O361" s="544">
        <v>0</v>
      </c>
      <c r="P361" s="544">
        <v>0</v>
      </c>
      <c r="Q361" s="675">
        <v>0</v>
      </c>
      <c r="R361" s="48"/>
      <c r="S361" s="48"/>
      <c r="T361" s="48"/>
      <c r="U361" s="48"/>
      <c r="V361" s="48"/>
    </row>
    <row r="362" spans="2:22" ht="27" customHeight="1" thickBot="1" x14ac:dyDescent="0.3">
      <c r="B362" s="1204"/>
      <c r="C362" s="1192"/>
      <c r="D362" s="555"/>
      <c r="E362" s="1199"/>
      <c r="F362" s="1201"/>
      <c r="G362" s="1201"/>
      <c r="H362" s="1209"/>
      <c r="I362" s="1199"/>
      <c r="J362" s="1199"/>
      <c r="K362" s="1204"/>
      <c r="L362" s="1204"/>
      <c r="M362" s="672" t="s">
        <v>124</v>
      </c>
      <c r="N362" s="550"/>
      <c r="O362" s="544">
        <v>39.9</v>
      </c>
      <c r="P362" s="544">
        <v>0</v>
      </c>
      <c r="Q362" s="675">
        <v>0</v>
      </c>
      <c r="R362" s="48"/>
      <c r="S362" s="48"/>
      <c r="T362" s="48"/>
      <c r="U362" s="48"/>
      <c r="V362" s="48"/>
    </row>
    <row r="363" spans="2:22" ht="26.25" customHeight="1" thickBot="1" x14ac:dyDescent="0.3">
      <c r="B363" s="1241"/>
      <c r="C363" s="1239"/>
      <c r="D363" s="555"/>
      <c r="E363" s="1237"/>
      <c r="F363" s="1235"/>
      <c r="G363" s="1235"/>
      <c r="H363" s="1291"/>
      <c r="I363" s="1237"/>
      <c r="J363" s="1237"/>
      <c r="K363" s="1204"/>
      <c r="L363" s="1204"/>
      <c r="M363" s="547" t="s">
        <v>745</v>
      </c>
      <c r="N363" s="549"/>
      <c r="O363" s="551">
        <v>0</v>
      </c>
      <c r="P363" s="551">
        <v>0</v>
      </c>
      <c r="Q363" s="552">
        <v>0</v>
      </c>
      <c r="R363" s="48"/>
      <c r="S363" s="48"/>
      <c r="T363" s="48"/>
      <c r="U363" s="48"/>
      <c r="V363" s="48"/>
    </row>
    <row r="364" spans="2:22" ht="32.25" customHeight="1" thickBot="1" x14ac:dyDescent="0.3">
      <c r="B364" s="1240" t="s">
        <v>64</v>
      </c>
      <c r="C364" s="1238" t="s">
        <v>295</v>
      </c>
      <c r="D364" s="555">
        <v>27302170</v>
      </c>
      <c r="E364" s="1236" t="s">
        <v>575</v>
      </c>
      <c r="F364" s="1234" t="s">
        <v>739</v>
      </c>
      <c r="G364" s="1234" t="s">
        <v>428</v>
      </c>
      <c r="H364" s="1312" t="s">
        <v>240</v>
      </c>
      <c r="I364" s="1236">
        <v>58</v>
      </c>
      <c r="J364" s="1236" t="s">
        <v>462</v>
      </c>
      <c r="K364" s="1206" t="s">
        <v>199</v>
      </c>
      <c r="L364" s="1206" t="s">
        <v>199</v>
      </c>
      <c r="M364" s="542" t="s">
        <v>122</v>
      </c>
      <c r="N364" s="543"/>
      <c r="O364" s="544">
        <f>O365+O366+O367</f>
        <v>505.98</v>
      </c>
      <c r="P364" s="544">
        <f>P365+P366+P367</f>
        <v>0</v>
      </c>
      <c r="Q364" s="675">
        <f>Q365+Q366+Q367</f>
        <v>0</v>
      </c>
      <c r="R364" s="48"/>
      <c r="S364" s="48"/>
      <c r="T364" s="48"/>
      <c r="U364" s="48"/>
      <c r="V364" s="48"/>
    </row>
    <row r="365" spans="2:22" ht="25.5" customHeight="1" thickBot="1" x14ac:dyDescent="0.3">
      <c r="B365" s="1204"/>
      <c r="C365" s="1192"/>
      <c r="D365" s="680"/>
      <c r="E365" s="1199"/>
      <c r="F365" s="1201"/>
      <c r="G365" s="1201"/>
      <c r="H365" s="1209"/>
      <c r="I365" s="1199"/>
      <c r="J365" s="1199"/>
      <c r="K365" s="1204"/>
      <c r="L365" s="1204"/>
      <c r="M365" s="636" t="s">
        <v>123</v>
      </c>
      <c r="N365" s="549"/>
      <c r="O365" s="544">
        <v>0</v>
      </c>
      <c r="P365" s="544">
        <v>0</v>
      </c>
      <c r="Q365" s="675">
        <v>0</v>
      </c>
      <c r="R365" s="48"/>
      <c r="S365" s="48"/>
      <c r="T365" s="48"/>
      <c r="U365" s="48"/>
      <c r="V365" s="48"/>
    </row>
    <row r="366" spans="2:22" ht="27" customHeight="1" thickBot="1" x14ac:dyDescent="0.3">
      <c r="B366" s="1204"/>
      <c r="C366" s="1192"/>
      <c r="D366" s="680"/>
      <c r="E366" s="1199"/>
      <c r="F366" s="1201"/>
      <c r="G366" s="1201"/>
      <c r="H366" s="1209"/>
      <c r="I366" s="1199"/>
      <c r="J366" s="1199"/>
      <c r="K366" s="1204"/>
      <c r="L366" s="1204"/>
      <c r="M366" s="672" t="s">
        <v>124</v>
      </c>
      <c r="N366" s="550"/>
      <c r="O366" s="544">
        <v>505.98</v>
      </c>
      <c r="P366" s="544">
        <v>0</v>
      </c>
      <c r="Q366" s="675">
        <v>0</v>
      </c>
      <c r="R366" s="48"/>
      <c r="S366" s="48"/>
      <c r="T366" s="48"/>
      <c r="U366" s="48"/>
      <c r="V366" s="48"/>
    </row>
    <row r="367" spans="2:22" ht="28.5" customHeight="1" thickBot="1" x14ac:dyDescent="0.3">
      <c r="B367" s="1241"/>
      <c r="C367" s="1192"/>
      <c r="D367" s="680"/>
      <c r="E367" s="1199"/>
      <c r="F367" s="1201"/>
      <c r="G367" s="1201"/>
      <c r="H367" s="1209"/>
      <c r="I367" s="1199"/>
      <c r="J367" s="1199"/>
      <c r="K367" s="1204"/>
      <c r="L367" s="1204"/>
      <c r="M367" s="671" t="s">
        <v>745</v>
      </c>
      <c r="N367" s="543"/>
      <c r="O367" s="544">
        <v>0</v>
      </c>
      <c r="P367" s="544">
        <v>0</v>
      </c>
      <c r="Q367" s="675">
        <v>0</v>
      </c>
      <c r="R367" s="48"/>
      <c r="S367" s="48"/>
      <c r="T367" s="48"/>
      <c r="U367" s="48"/>
      <c r="V367" s="48"/>
    </row>
    <row r="368" spans="2:22" ht="24" customHeight="1" thickBot="1" x14ac:dyDescent="0.3">
      <c r="B368" s="1240" t="s">
        <v>64</v>
      </c>
      <c r="C368" s="1207" t="s">
        <v>295</v>
      </c>
      <c r="D368" s="680" t="s">
        <v>532</v>
      </c>
      <c r="E368" s="1207" t="s">
        <v>383</v>
      </c>
      <c r="F368" s="1200" t="s">
        <v>812</v>
      </c>
      <c r="G368" s="1200" t="s">
        <v>428</v>
      </c>
      <c r="H368" s="1308" t="s">
        <v>240</v>
      </c>
      <c r="I368" s="1207" t="s">
        <v>741</v>
      </c>
      <c r="J368" s="1207" t="s">
        <v>462</v>
      </c>
      <c r="K368" s="1206" t="s">
        <v>199</v>
      </c>
      <c r="L368" s="1206" t="s">
        <v>199</v>
      </c>
      <c r="M368" s="542" t="s">
        <v>122</v>
      </c>
      <c r="N368" s="543"/>
      <c r="O368" s="544">
        <f>O369+O370+O371</f>
        <v>100</v>
      </c>
      <c r="P368" s="544">
        <f>P369+P370+P371</f>
        <v>0</v>
      </c>
      <c r="Q368" s="675">
        <f>Q369+Q370+Q371</f>
        <v>0</v>
      </c>
      <c r="R368" s="48"/>
      <c r="S368" s="48"/>
      <c r="T368" s="48"/>
      <c r="U368" s="48"/>
      <c r="V368" s="48"/>
    </row>
    <row r="369" spans="2:22" ht="22.5" customHeight="1" thickBot="1" x14ac:dyDescent="0.3">
      <c r="B369" s="1204"/>
      <c r="C369" s="1199"/>
      <c r="D369" s="654"/>
      <c r="E369" s="1199"/>
      <c r="F369" s="1201"/>
      <c r="G369" s="1201"/>
      <c r="H369" s="1259"/>
      <c r="I369" s="1199"/>
      <c r="J369" s="1199"/>
      <c r="K369" s="1204"/>
      <c r="L369" s="1204"/>
      <c r="M369" s="636" t="s">
        <v>123</v>
      </c>
      <c r="N369" s="549"/>
      <c r="O369" s="544">
        <v>0</v>
      </c>
      <c r="P369" s="544">
        <v>0</v>
      </c>
      <c r="Q369" s="675">
        <v>0</v>
      </c>
      <c r="R369" s="48"/>
      <c r="S369" s="48"/>
      <c r="T369" s="48"/>
      <c r="U369" s="48"/>
      <c r="V369" s="48"/>
    </row>
    <row r="370" spans="2:22" ht="27" customHeight="1" thickBot="1" x14ac:dyDescent="0.3">
      <c r="B370" s="1204"/>
      <c r="C370" s="1199"/>
      <c r="D370" s="555"/>
      <c r="E370" s="1199"/>
      <c r="F370" s="1201"/>
      <c r="G370" s="1201"/>
      <c r="H370" s="1259"/>
      <c r="I370" s="1199"/>
      <c r="J370" s="1199"/>
      <c r="K370" s="1204"/>
      <c r="L370" s="1204"/>
      <c r="M370" s="672" t="s">
        <v>124</v>
      </c>
      <c r="N370" s="550"/>
      <c r="O370" s="544">
        <v>100</v>
      </c>
      <c r="P370" s="544">
        <v>0</v>
      </c>
      <c r="Q370" s="675">
        <v>0</v>
      </c>
      <c r="R370" s="48"/>
      <c r="S370" s="48"/>
      <c r="T370" s="48"/>
      <c r="U370" s="48"/>
      <c r="V370" s="48"/>
    </row>
    <row r="371" spans="2:22" ht="21" customHeight="1" thickBot="1" x14ac:dyDescent="0.3">
      <c r="B371" s="1204"/>
      <c r="C371" s="1199"/>
      <c r="D371" s="680"/>
      <c r="E371" s="1199"/>
      <c r="F371" s="1201"/>
      <c r="G371" s="1201"/>
      <c r="H371" s="1259"/>
      <c r="I371" s="1199"/>
      <c r="J371" s="1199"/>
      <c r="K371" s="1204"/>
      <c r="L371" s="1204"/>
      <c r="M371" s="671" t="s">
        <v>745</v>
      </c>
      <c r="N371" s="543"/>
      <c r="O371" s="544">
        <v>0</v>
      </c>
      <c r="P371" s="544">
        <v>0</v>
      </c>
      <c r="Q371" s="675">
        <v>0</v>
      </c>
      <c r="R371" s="48"/>
      <c r="S371" s="48"/>
      <c r="T371" s="48"/>
      <c r="U371" s="48"/>
      <c r="V371" s="48"/>
    </row>
    <row r="372" spans="2:22" ht="50.25" customHeight="1" thickBot="1" x14ac:dyDescent="0.3">
      <c r="B372" s="1302" t="s">
        <v>172</v>
      </c>
      <c r="C372" s="1292" t="s">
        <v>116</v>
      </c>
      <c r="D372" s="1275" t="s">
        <v>116</v>
      </c>
      <c r="E372" s="1275" t="s">
        <v>116</v>
      </c>
      <c r="F372" s="1296" t="s">
        <v>176</v>
      </c>
      <c r="G372" s="545" t="s">
        <v>381</v>
      </c>
      <c r="H372" s="654" t="s">
        <v>243</v>
      </c>
      <c r="I372" s="593">
        <v>62400</v>
      </c>
      <c r="J372" s="1206" t="s">
        <v>462</v>
      </c>
      <c r="K372" s="593">
        <v>62400</v>
      </c>
      <c r="L372" s="593">
        <v>62400</v>
      </c>
      <c r="M372" s="542" t="s">
        <v>122</v>
      </c>
      <c r="N372" s="543"/>
      <c r="O372" s="544">
        <f>O377+O449+O457+O553</f>
        <v>252519.83899999998</v>
      </c>
      <c r="P372" s="544">
        <f t="shared" ref="P372:Q375" si="8">P377+P441+P449+P457+P553</f>
        <v>227819.06599999999</v>
      </c>
      <c r="Q372" s="675">
        <f t="shared" si="8"/>
        <v>221598.97900000002</v>
      </c>
      <c r="R372" s="48">
        <v>259055.57</v>
      </c>
      <c r="S372" s="48">
        <v>227819.07</v>
      </c>
      <c r="T372" s="48">
        <v>221598.98</v>
      </c>
      <c r="U372" s="48"/>
      <c r="V372" s="48"/>
    </row>
    <row r="373" spans="2:22" ht="33" customHeight="1" thickBot="1" x14ac:dyDescent="0.3">
      <c r="B373" s="1303"/>
      <c r="C373" s="1293"/>
      <c r="D373" s="1295"/>
      <c r="E373" s="1295"/>
      <c r="F373" s="1297"/>
      <c r="G373" s="697" t="s">
        <v>187</v>
      </c>
      <c r="H373" s="555" t="s">
        <v>241</v>
      </c>
      <c r="I373" s="594">
        <f>I381+I383+I385+I389+I393+I397+I401+I405+I409+I413+I417+I419+I421+I425</f>
        <v>4908</v>
      </c>
      <c r="J373" s="1204"/>
      <c r="K373" s="594">
        <f>K381+K383+K385+K389+K393+K397+K401+K405+K409+K413+K417+K419+K421+K425</f>
        <v>4908</v>
      </c>
      <c r="L373" s="594">
        <f>L381+L383+L385+L389+L393+L397+L401+L405+L409+L413+L417+L419+L421+L425</f>
        <v>4908</v>
      </c>
      <c r="M373" s="636" t="s">
        <v>123</v>
      </c>
      <c r="N373" s="549"/>
      <c r="O373" s="551">
        <f>O378+O442+O450+O458+O554</f>
        <v>28309.739999999998</v>
      </c>
      <c r="P373" s="551">
        <f t="shared" si="8"/>
        <v>4560</v>
      </c>
      <c r="Q373" s="552">
        <f t="shared" si="8"/>
        <v>4560</v>
      </c>
      <c r="R373" s="745">
        <f>R372-O372</f>
        <v>6535.7310000000289</v>
      </c>
      <c r="S373" s="745">
        <f>S372-P372</f>
        <v>4.0000000153668225E-3</v>
      </c>
      <c r="T373" s="745">
        <f>T372-Q372</f>
        <v>9.9999998928979039E-4</v>
      </c>
      <c r="U373" s="48"/>
      <c r="V373" s="48"/>
    </row>
    <row r="374" spans="2:22" ht="44.25" customHeight="1" thickBot="1" x14ac:dyDescent="0.3">
      <c r="B374" s="1303"/>
      <c r="C374" s="1293"/>
      <c r="D374" s="1295"/>
      <c r="E374" s="1295"/>
      <c r="F374" s="1297"/>
      <c r="G374" s="576" t="s">
        <v>254</v>
      </c>
      <c r="H374" s="555" t="s">
        <v>240</v>
      </c>
      <c r="I374" s="594">
        <v>9</v>
      </c>
      <c r="J374" s="1204"/>
      <c r="K374" s="594">
        <v>4</v>
      </c>
      <c r="L374" s="594">
        <v>1</v>
      </c>
      <c r="M374" s="672" t="s">
        <v>124</v>
      </c>
      <c r="N374" s="550"/>
      <c r="O374" s="561">
        <f>O379+O443+O451+O459+O555</f>
        <v>230745.83599999998</v>
      </c>
      <c r="P374" s="561">
        <f t="shared" si="8"/>
        <v>223259.06599999999</v>
      </c>
      <c r="Q374" s="562">
        <f t="shared" si="8"/>
        <v>217038.97900000002</v>
      </c>
      <c r="R374" s="48"/>
      <c r="S374" s="48"/>
      <c r="T374" s="48"/>
      <c r="U374" s="48"/>
      <c r="V374" s="48"/>
    </row>
    <row r="375" spans="2:22" ht="63.75" customHeight="1" thickBot="1" x14ac:dyDescent="0.3">
      <c r="B375" s="1303"/>
      <c r="C375" s="1293"/>
      <c r="D375" s="1295"/>
      <c r="E375" s="1295"/>
      <c r="F375" s="1297"/>
      <c r="G375" s="576" t="s">
        <v>527</v>
      </c>
      <c r="H375" s="555" t="s">
        <v>240</v>
      </c>
      <c r="I375" s="594">
        <v>2</v>
      </c>
      <c r="J375" s="1204"/>
      <c r="K375" s="594">
        <v>2</v>
      </c>
      <c r="L375" s="594">
        <v>2</v>
      </c>
      <c r="M375" s="547" t="s">
        <v>745</v>
      </c>
      <c r="N375" s="549"/>
      <c r="O375" s="551">
        <f>O380+O444+O452+O460+O556</f>
        <v>26528.480349999998</v>
      </c>
      <c r="P375" s="551">
        <f t="shared" si="8"/>
        <v>0</v>
      </c>
      <c r="Q375" s="552">
        <f t="shared" si="8"/>
        <v>0</v>
      </c>
      <c r="R375" s="48"/>
      <c r="S375" s="48"/>
      <c r="T375" s="48"/>
      <c r="U375" s="48"/>
      <c r="V375" s="48"/>
    </row>
    <row r="376" spans="2:22" ht="39" customHeight="1" thickBot="1" x14ac:dyDescent="0.3">
      <c r="B376" s="1304"/>
      <c r="C376" s="1294"/>
      <c r="D376" s="1276"/>
      <c r="E376" s="1276"/>
      <c r="F376" s="1298"/>
      <c r="G376" s="591" t="s">
        <v>220</v>
      </c>
      <c r="H376" s="558" t="s">
        <v>240</v>
      </c>
      <c r="I376" s="592">
        <v>1</v>
      </c>
      <c r="J376" s="1205"/>
      <c r="K376" s="592">
        <v>0</v>
      </c>
      <c r="L376" s="592">
        <v>0</v>
      </c>
      <c r="M376" s="642"/>
      <c r="N376" s="595"/>
      <c r="O376" s="554"/>
      <c r="P376" s="554"/>
      <c r="Q376" s="554"/>
      <c r="R376" s="48"/>
      <c r="S376" s="48"/>
      <c r="T376" s="48"/>
      <c r="U376" s="48"/>
      <c r="V376" s="48"/>
    </row>
    <row r="377" spans="2:22" ht="24.75" customHeight="1" thickBot="1" x14ac:dyDescent="0.3">
      <c r="B377" s="1204" t="s">
        <v>172</v>
      </c>
      <c r="C377" s="1199" t="s">
        <v>590</v>
      </c>
      <c r="D377" s="682"/>
      <c r="E377" s="1199" t="s">
        <v>116</v>
      </c>
      <c r="F377" s="1199" t="s">
        <v>589</v>
      </c>
      <c r="G377" s="1199" t="s">
        <v>116</v>
      </c>
      <c r="H377" s="1199" t="s">
        <v>116</v>
      </c>
      <c r="I377" s="1199" t="s">
        <v>116</v>
      </c>
      <c r="J377" s="1199" t="s">
        <v>462</v>
      </c>
      <c r="K377" s="1199" t="s">
        <v>116</v>
      </c>
      <c r="L377" s="1199" t="s">
        <v>116</v>
      </c>
      <c r="M377" s="672" t="s">
        <v>122</v>
      </c>
      <c r="N377" s="550"/>
      <c r="O377" s="561">
        <f>O378+O379</f>
        <v>210520.23499999999</v>
      </c>
      <c r="P377" s="561">
        <f>P381+P385+P389+P393+P397+P401+P405+P409+P413+P417+P421+P425+P437</f>
        <v>213508.21599999999</v>
      </c>
      <c r="Q377" s="675">
        <f>Q381+Q385+Q389+Q393+Q397+Q401+Q405+Q409+Q413+Q417+Q421+Q425+Q437</f>
        <v>213808.19200000001</v>
      </c>
      <c r="R377" s="48">
        <v>210520.23</v>
      </c>
      <c r="S377" s="48">
        <v>213508.22</v>
      </c>
      <c r="T377" s="48">
        <v>213808.19</v>
      </c>
      <c r="U377" s="48"/>
      <c r="V377" s="48"/>
    </row>
    <row r="378" spans="2:22" ht="25.5" customHeight="1" thickBot="1" x14ac:dyDescent="0.3">
      <c r="B378" s="1204"/>
      <c r="C378" s="1199"/>
      <c r="D378" s="555"/>
      <c r="E378" s="1199"/>
      <c r="F378" s="1199"/>
      <c r="G378" s="1199"/>
      <c r="H378" s="1199"/>
      <c r="I378" s="1199"/>
      <c r="J378" s="1199"/>
      <c r="K378" s="1199"/>
      <c r="L378" s="1199"/>
      <c r="M378" s="636" t="s">
        <v>123</v>
      </c>
      <c r="N378" s="549"/>
      <c r="O378" s="544">
        <f>O382+O386+O390+O394+O398+O402+O406+O410+O414+O418+O422+O426+O438+O430+O434</f>
        <v>7075.46</v>
      </c>
      <c r="P378" s="544">
        <f>P382+P386+P390+P394+P398+P402+P406+P410+P414+P418+P422+P426+P438+P430+P434</f>
        <v>4560</v>
      </c>
      <c r="Q378" s="552">
        <f>Q382+Q386+Q390+Q394+Q398+Q402+Q406+Q410+Q414+Q418+Q422+Q426+Q438+Q430+Q434</f>
        <v>4560</v>
      </c>
      <c r="R378" s="48"/>
      <c r="S378" s="48"/>
      <c r="T378" s="48"/>
      <c r="U378" s="48"/>
      <c r="V378" s="48"/>
    </row>
    <row r="379" spans="2:22" ht="23.25" customHeight="1" thickBot="1" x14ac:dyDescent="0.3">
      <c r="B379" s="1204"/>
      <c r="C379" s="1199"/>
      <c r="D379" s="555"/>
      <c r="E379" s="1199"/>
      <c r="F379" s="1199"/>
      <c r="G379" s="1199"/>
      <c r="H379" s="1199"/>
      <c r="I379" s="1199"/>
      <c r="J379" s="1199"/>
      <c r="K379" s="1199"/>
      <c r="L379" s="1199"/>
      <c r="M379" s="672" t="s">
        <v>124</v>
      </c>
      <c r="N379" s="550"/>
      <c r="O379" s="544">
        <f>O383+O387+O391+O395+O399+O403+O407+O411+O415+O419+O423+O427+O439+O431</f>
        <v>203444.77499999999</v>
      </c>
      <c r="P379" s="544">
        <f>P383+P387+P391+P395+P399+P403+P407+P411+P415+P419+P423+P427+P439</f>
        <v>208948.21599999999</v>
      </c>
      <c r="Q379" s="675">
        <f>Q383+Q387+Q391+Q395+Q399+Q403+Q407+Q411+Q415+Q419+Q423+Q427+Q439</f>
        <v>209248.19200000001</v>
      </c>
      <c r="R379" s="745">
        <f>R377-O377</f>
        <v>-4.9999999755527824E-3</v>
      </c>
      <c r="S379" s="745">
        <f>S377-P377</f>
        <v>4.0000000153668225E-3</v>
      </c>
      <c r="T379" s="745">
        <f>T377-Q377</f>
        <v>-2.0000000076834112E-3</v>
      </c>
      <c r="U379" s="48"/>
      <c r="V379" s="48"/>
    </row>
    <row r="380" spans="2:22" ht="22.5" customHeight="1" thickBot="1" x14ac:dyDescent="0.3">
      <c r="B380" s="1204"/>
      <c r="C380" s="1199"/>
      <c r="D380" s="673" t="s">
        <v>116</v>
      </c>
      <c r="E380" s="1199"/>
      <c r="F380" s="1199"/>
      <c r="G380" s="1199"/>
      <c r="H380" s="1199"/>
      <c r="I380" s="1199"/>
      <c r="J380" s="1199"/>
      <c r="K380" s="1199"/>
      <c r="L380" s="1199"/>
      <c r="M380" s="671" t="s">
        <v>745</v>
      </c>
      <c r="N380" s="543"/>
      <c r="O380" s="544">
        <f>O384+O388+O392+O396+O400+O404+O408+O412+O416+O420+O424+O428+O440</f>
        <v>0</v>
      </c>
      <c r="P380" s="544">
        <f>P384+P388+P392+P396+P400+P404+P408+P412+P416+P420+P424+P428+P440</f>
        <v>0</v>
      </c>
      <c r="Q380" s="675">
        <f>Q384+Q388+Q392+Q396+Q400+Q404+Q408+Q412+Q416+Q420+Q424+Q428+Q440</f>
        <v>0</v>
      </c>
      <c r="R380" s="48"/>
      <c r="S380" s="48"/>
      <c r="T380" s="48"/>
      <c r="U380" s="48"/>
      <c r="V380" s="48"/>
    </row>
    <row r="381" spans="2:22" ht="26.25" customHeight="1" thickBot="1" x14ac:dyDescent="0.3">
      <c r="B381" s="1206" t="s">
        <v>172</v>
      </c>
      <c r="C381" s="1215" t="s">
        <v>590</v>
      </c>
      <c r="D381" s="1229" t="s">
        <v>450</v>
      </c>
      <c r="E381" s="1207" t="s">
        <v>449</v>
      </c>
      <c r="F381" s="1200" t="s">
        <v>286</v>
      </c>
      <c r="G381" s="1200" t="s">
        <v>187</v>
      </c>
      <c r="H381" s="1232" t="s">
        <v>241</v>
      </c>
      <c r="I381" s="1207">
        <f>1+11+160+160</f>
        <v>332</v>
      </c>
      <c r="J381" s="1207" t="s">
        <v>462</v>
      </c>
      <c r="K381" s="1207">
        <f>1+11+160+160</f>
        <v>332</v>
      </c>
      <c r="L381" s="1207">
        <f>1+11+160+160</f>
        <v>332</v>
      </c>
      <c r="M381" s="542" t="s">
        <v>122</v>
      </c>
      <c r="N381" s="543"/>
      <c r="O381" s="544">
        <f>O382+O383+O384</f>
        <v>14413.87</v>
      </c>
      <c r="P381" s="544">
        <v>14447.226000000001</v>
      </c>
      <c r="Q381" s="544">
        <v>14471.905000000001</v>
      </c>
      <c r="R381" s="48"/>
      <c r="S381" s="48"/>
      <c r="T381" s="48"/>
      <c r="U381" s="48"/>
      <c r="V381" s="48"/>
    </row>
    <row r="382" spans="2:22" ht="29.25" customHeight="1" thickBot="1" x14ac:dyDescent="0.3">
      <c r="B382" s="1204"/>
      <c r="C382" s="1192"/>
      <c r="D382" s="1230"/>
      <c r="E382" s="1199"/>
      <c r="F382" s="1201"/>
      <c r="G382" s="1201"/>
      <c r="H382" s="1209"/>
      <c r="I382" s="1199"/>
      <c r="J382" s="1199"/>
      <c r="K382" s="1199"/>
      <c r="L382" s="1199"/>
      <c r="M382" s="636" t="s">
        <v>123</v>
      </c>
      <c r="N382" s="549"/>
      <c r="O382" s="544">
        <v>355</v>
      </c>
      <c r="P382" s="544">
        <v>355</v>
      </c>
      <c r="Q382" s="675">
        <v>355</v>
      </c>
      <c r="R382" s="48"/>
      <c r="S382" s="48"/>
      <c r="T382" s="48"/>
      <c r="U382" s="48"/>
      <c r="V382" s="48"/>
    </row>
    <row r="383" spans="2:22" ht="25.5" customHeight="1" thickBot="1" x14ac:dyDescent="0.3">
      <c r="B383" s="1204"/>
      <c r="C383" s="1192"/>
      <c r="D383" s="1245"/>
      <c r="E383" s="1199"/>
      <c r="F383" s="1200" t="s">
        <v>448</v>
      </c>
      <c r="G383" s="1200" t="s">
        <v>187</v>
      </c>
      <c r="H383" s="1232" t="s">
        <v>241</v>
      </c>
      <c r="I383" s="1207">
        <f>6+15</f>
        <v>21</v>
      </c>
      <c r="J383" s="1199"/>
      <c r="K383" s="1207">
        <f>6+15</f>
        <v>21</v>
      </c>
      <c r="L383" s="1207">
        <f>6+15</f>
        <v>21</v>
      </c>
      <c r="M383" s="672" t="s">
        <v>124</v>
      </c>
      <c r="N383" s="550"/>
      <c r="O383" s="544">
        <v>14058.87</v>
      </c>
      <c r="P383" s="544">
        <f>P381-P382</f>
        <v>14092.226000000001</v>
      </c>
      <c r="Q383" s="675">
        <f>Q381-Q382</f>
        <v>14116.905000000001</v>
      </c>
      <c r="R383" s="48"/>
      <c r="S383" s="48"/>
      <c r="T383" s="48"/>
      <c r="U383" s="48"/>
      <c r="V383" s="48"/>
    </row>
    <row r="384" spans="2:22" ht="27" customHeight="1" thickBot="1" x14ac:dyDescent="0.3">
      <c r="B384" s="1205"/>
      <c r="C384" s="1216"/>
      <c r="D384" s="674"/>
      <c r="E384" s="1208"/>
      <c r="F384" s="1202"/>
      <c r="G384" s="1202"/>
      <c r="H384" s="1210"/>
      <c r="I384" s="1208"/>
      <c r="J384" s="1208"/>
      <c r="K384" s="1208"/>
      <c r="L384" s="1208"/>
      <c r="M384" s="547" t="s">
        <v>745</v>
      </c>
      <c r="N384" s="549"/>
      <c r="O384" s="551">
        <v>0</v>
      </c>
      <c r="P384" s="551">
        <v>0</v>
      </c>
      <c r="Q384" s="552">
        <v>0</v>
      </c>
      <c r="R384" s="48"/>
      <c r="S384" s="48"/>
      <c r="T384" s="48"/>
      <c r="U384" s="48"/>
      <c r="V384" s="48"/>
    </row>
    <row r="385" spans="2:22" ht="24.75" customHeight="1" thickBot="1" x14ac:dyDescent="0.3">
      <c r="B385" s="1206" t="s">
        <v>172</v>
      </c>
      <c r="C385" s="1215" t="s">
        <v>590</v>
      </c>
      <c r="D385" s="654">
        <v>27301842</v>
      </c>
      <c r="E385" s="1207" t="s">
        <v>408</v>
      </c>
      <c r="F385" s="1200" t="s">
        <v>286</v>
      </c>
      <c r="G385" s="1200" t="s">
        <v>187</v>
      </c>
      <c r="H385" s="1232" t="s">
        <v>241</v>
      </c>
      <c r="I385" s="1207">
        <f>35+319+298</f>
        <v>652</v>
      </c>
      <c r="J385" s="1207" t="s">
        <v>462</v>
      </c>
      <c r="K385" s="1207">
        <f>35+319+298</f>
        <v>652</v>
      </c>
      <c r="L385" s="1207">
        <f>35+319+298</f>
        <v>652</v>
      </c>
      <c r="M385" s="542" t="s">
        <v>122</v>
      </c>
      <c r="N385" s="543"/>
      <c r="O385" s="544">
        <v>19968.625</v>
      </c>
      <c r="P385" s="544">
        <v>19969.506000000001</v>
      </c>
      <c r="Q385" s="675">
        <v>19969.456999999999</v>
      </c>
      <c r="R385" s="48"/>
      <c r="S385" s="48"/>
      <c r="T385" s="48"/>
      <c r="U385" s="48"/>
      <c r="V385" s="48"/>
    </row>
    <row r="386" spans="2:22" ht="24" customHeight="1" thickBot="1" x14ac:dyDescent="0.3">
      <c r="B386" s="1204"/>
      <c r="C386" s="1192"/>
      <c r="D386" s="682"/>
      <c r="E386" s="1199"/>
      <c r="F386" s="1201"/>
      <c r="G386" s="1201"/>
      <c r="H386" s="1209"/>
      <c r="I386" s="1199"/>
      <c r="J386" s="1199"/>
      <c r="K386" s="1199"/>
      <c r="L386" s="1199"/>
      <c r="M386" s="636" t="s">
        <v>123</v>
      </c>
      <c r="N386" s="549"/>
      <c r="O386" s="544">
        <v>635</v>
      </c>
      <c r="P386" s="544">
        <v>635</v>
      </c>
      <c r="Q386" s="675">
        <v>635</v>
      </c>
      <c r="R386" s="48"/>
      <c r="S386" s="48"/>
      <c r="T386" s="48"/>
      <c r="U386" s="48"/>
      <c r="V386" s="48"/>
    </row>
    <row r="387" spans="2:22" ht="24" customHeight="1" thickBot="1" x14ac:dyDescent="0.3">
      <c r="B387" s="1204"/>
      <c r="C387" s="1192"/>
      <c r="D387" s="682"/>
      <c r="E387" s="1199"/>
      <c r="F387" s="1201"/>
      <c r="G387" s="1201"/>
      <c r="H387" s="1209"/>
      <c r="I387" s="1199"/>
      <c r="J387" s="1199"/>
      <c r="K387" s="1199"/>
      <c r="L387" s="1199"/>
      <c r="M387" s="672" t="s">
        <v>124</v>
      </c>
      <c r="N387" s="550"/>
      <c r="O387" s="544">
        <f>O385-O386</f>
        <v>19333.625</v>
      </c>
      <c r="P387" s="544">
        <f>P385-P386</f>
        <v>19334.506000000001</v>
      </c>
      <c r="Q387" s="544">
        <f>Q385-Q386</f>
        <v>19334.456999999999</v>
      </c>
      <c r="R387" s="48"/>
      <c r="S387" s="48"/>
      <c r="T387" s="48"/>
      <c r="U387" s="48"/>
      <c r="V387" s="48"/>
    </row>
    <row r="388" spans="2:22" ht="27" customHeight="1" thickBot="1" x14ac:dyDescent="0.3">
      <c r="B388" s="1205"/>
      <c r="C388" s="1216"/>
      <c r="D388" s="674"/>
      <c r="E388" s="1208"/>
      <c r="F388" s="1202"/>
      <c r="G388" s="1202"/>
      <c r="H388" s="1210"/>
      <c r="I388" s="1208"/>
      <c r="J388" s="1208"/>
      <c r="K388" s="1208"/>
      <c r="L388" s="1208"/>
      <c r="M388" s="547" t="s">
        <v>745</v>
      </c>
      <c r="N388" s="549"/>
      <c r="O388" s="551">
        <v>0</v>
      </c>
      <c r="P388" s="551">
        <v>0</v>
      </c>
      <c r="Q388" s="552">
        <v>0</v>
      </c>
      <c r="R388" s="48"/>
      <c r="S388" s="48"/>
      <c r="T388" s="48"/>
      <c r="U388" s="48"/>
      <c r="V388" s="48"/>
    </row>
    <row r="389" spans="2:22" ht="26.25" customHeight="1" thickBot="1" x14ac:dyDescent="0.3">
      <c r="B389" s="1206" t="s">
        <v>172</v>
      </c>
      <c r="C389" s="1215" t="s">
        <v>590</v>
      </c>
      <c r="D389" s="682">
        <v>27302143</v>
      </c>
      <c r="E389" s="1207" t="s">
        <v>451</v>
      </c>
      <c r="F389" s="1200" t="s">
        <v>286</v>
      </c>
      <c r="G389" s="1200" t="s">
        <v>187</v>
      </c>
      <c r="H389" s="1232" t="s">
        <v>241</v>
      </c>
      <c r="I389" s="1207">
        <f>7+409+153</f>
        <v>569</v>
      </c>
      <c r="J389" s="1207" t="s">
        <v>462</v>
      </c>
      <c r="K389" s="1207">
        <f>7+409+153</f>
        <v>569</v>
      </c>
      <c r="L389" s="1207">
        <f>7+409+153</f>
        <v>569</v>
      </c>
      <c r="M389" s="542" t="s">
        <v>122</v>
      </c>
      <c r="N389" s="543"/>
      <c r="O389" s="544">
        <v>17660.117999999999</v>
      </c>
      <c r="P389" s="544">
        <v>17661.626</v>
      </c>
      <c r="Q389" s="675">
        <v>17661.789000000001</v>
      </c>
      <c r="R389" s="48"/>
      <c r="S389" s="48"/>
      <c r="T389" s="48"/>
      <c r="U389" s="48"/>
      <c r="V389" s="48"/>
    </row>
    <row r="390" spans="2:22" ht="25.5" customHeight="1" thickBot="1" x14ac:dyDescent="0.3">
      <c r="B390" s="1204"/>
      <c r="C390" s="1192"/>
      <c r="D390" s="673"/>
      <c r="E390" s="1199"/>
      <c r="F390" s="1201"/>
      <c r="G390" s="1201"/>
      <c r="H390" s="1209"/>
      <c r="I390" s="1199"/>
      <c r="J390" s="1199"/>
      <c r="K390" s="1199"/>
      <c r="L390" s="1199"/>
      <c r="M390" s="636" t="s">
        <v>123</v>
      </c>
      <c r="N390" s="549"/>
      <c r="O390" s="544">
        <v>554</v>
      </c>
      <c r="P390" s="544">
        <v>554</v>
      </c>
      <c r="Q390" s="675">
        <v>554</v>
      </c>
      <c r="R390" s="48"/>
      <c r="S390" s="48"/>
      <c r="T390" s="48"/>
      <c r="U390" s="48"/>
      <c r="V390" s="48"/>
    </row>
    <row r="391" spans="2:22" ht="24" customHeight="1" thickBot="1" x14ac:dyDescent="0.3">
      <c r="B391" s="1204"/>
      <c r="C391" s="1192"/>
      <c r="D391" s="673"/>
      <c r="E391" s="1199"/>
      <c r="F391" s="1201"/>
      <c r="G391" s="1201"/>
      <c r="H391" s="1209"/>
      <c r="I391" s="1199"/>
      <c r="J391" s="1199"/>
      <c r="K391" s="1199"/>
      <c r="L391" s="1199"/>
      <c r="M391" s="672" t="s">
        <v>124</v>
      </c>
      <c r="N391" s="550"/>
      <c r="O391" s="544">
        <f>O389-O390</f>
        <v>17106.117999999999</v>
      </c>
      <c r="P391" s="544">
        <f>P389-P390</f>
        <v>17107.626</v>
      </c>
      <c r="Q391" s="544">
        <f>Q389-Q390</f>
        <v>17107.789000000001</v>
      </c>
      <c r="R391" s="48"/>
      <c r="S391" s="48"/>
      <c r="T391" s="48"/>
      <c r="U391" s="48"/>
      <c r="V391" s="48"/>
    </row>
    <row r="392" spans="2:22" ht="22.5" customHeight="1" thickBot="1" x14ac:dyDescent="0.3">
      <c r="B392" s="1241"/>
      <c r="C392" s="1192"/>
      <c r="D392" s="673"/>
      <c r="E392" s="1199"/>
      <c r="F392" s="1201"/>
      <c r="G392" s="1201"/>
      <c r="H392" s="1209"/>
      <c r="I392" s="1199"/>
      <c r="J392" s="1199"/>
      <c r="K392" s="1199"/>
      <c r="L392" s="1199"/>
      <c r="M392" s="671" t="s">
        <v>745</v>
      </c>
      <c r="N392" s="543"/>
      <c r="O392" s="544">
        <v>0</v>
      </c>
      <c r="P392" s="544">
        <v>0</v>
      </c>
      <c r="Q392" s="675">
        <v>0</v>
      </c>
      <c r="R392" s="48"/>
      <c r="S392" s="48"/>
      <c r="T392" s="48"/>
      <c r="U392" s="48"/>
      <c r="V392" s="48"/>
    </row>
    <row r="393" spans="2:22" ht="54.75" customHeight="1" thickBot="1" x14ac:dyDescent="0.3">
      <c r="B393" s="1240" t="s">
        <v>172</v>
      </c>
      <c r="C393" s="1215" t="s">
        <v>590</v>
      </c>
      <c r="D393" s="1229" t="s">
        <v>533</v>
      </c>
      <c r="E393" s="1207" t="s">
        <v>452</v>
      </c>
      <c r="F393" s="580" t="s">
        <v>286</v>
      </c>
      <c r="G393" s="652" t="s">
        <v>187</v>
      </c>
      <c r="H393" s="596" t="s">
        <v>241</v>
      </c>
      <c r="I393" s="593">
        <f>30+460+627</f>
        <v>1117</v>
      </c>
      <c r="J393" s="1207" t="s">
        <v>462</v>
      </c>
      <c r="K393" s="593">
        <f>30+460+627</f>
        <v>1117</v>
      </c>
      <c r="L393" s="593">
        <f>30+460+627</f>
        <v>1117</v>
      </c>
      <c r="M393" s="542" t="s">
        <v>122</v>
      </c>
      <c r="N393" s="543"/>
      <c r="O393" s="544">
        <v>36054.31</v>
      </c>
      <c r="P393" s="544">
        <v>36041.446000000004</v>
      </c>
      <c r="Q393" s="675">
        <v>36101.538</v>
      </c>
      <c r="R393" s="48"/>
      <c r="S393" s="48"/>
      <c r="T393" s="48"/>
      <c r="U393" s="48"/>
      <c r="V393" s="48"/>
    </row>
    <row r="394" spans="2:22" ht="57.75" customHeight="1" thickBot="1" x14ac:dyDescent="0.3">
      <c r="B394" s="1204"/>
      <c r="C394" s="1192"/>
      <c r="D394" s="1230"/>
      <c r="E394" s="1199"/>
      <c r="F394" s="583" t="s">
        <v>699</v>
      </c>
      <c r="G394" s="653" t="s">
        <v>701</v>
      </c>
      <c r="H394" s="577" t="s">
        <v>244</v>
      </c>
      <c r="I394" s="594" t="s">
        <v>572</v>
      </c>
      <c r="J394" s="1199"/>
      <c r="K394" s="594" t="s">
        <v>572</v>
      </c>
      <c r="L394" s="594" t="s">
        <v>572</v>
      </c>
      <c r="M394" s="636" t="s">
        <v>123</v>
      </c>
      <c r="N394" s="549"/>
      <c r="O394" s="544">
        <v>1098</v>
      </c>
      <c r="P394" s="544">
        <v>1098</v>
      </c>
      <c r="Q394" s="675">
        <v>1098</v>
      </c>
      <c r="R394" s="48"/>
      <c r="S394" s="48"/>
      <c r="T394" s="48"/>
      <c r="U394" s="48"/>
      <c r="V394" s="48"/>
    </row>
    <row r="395" spans="2:22" ht="22.5" customHeight="1" thickBot="1" x14ac:dyDescent="0.3">
      <c r="B395" s="1204"/>
      <c r="C395" s="1192"/>
      <c r="D395" s="1245"/>
      <c r="E395" s="1199"/>
      <c r="F395" s="1255" t="s">
        <v>708</v>
      </c>
      <c r="G395" s="1234" t="s">
        <v>234</v>
      </c>
      <c r="H395" s="1312" t="s">
        <v>393</v>
      </c>
      <c r="I395" s="1236" t="s">
        <v>263</v>
      </c>
      <c r="J395" s="1199"/>
      <c r="K395" s="1236" t="s">
        <v>263</v>
      </c>
      <c r="L395" s="1236" t="s">
        <v>263</v>
      </c>
      <c r="M395" s="672" t="s">
        <v>124</v>
      </c>
      <c r="N395" s="550"/>
      <c r="O395" s="544">
        <f>O393-O394</f>
        <v>34956.31</v>
      </c>
      <c r="P395" s="544">
        <f>P393-P394</f>
        <v>34943.446000000004</v>
      </c>
      <c r="Q395" s="552">
        <f>Q393-Q394</f>
        <v>35003.538</v>
      </c>
      <c r="R395" s="48"/>
      <c r="S395" s="48"/>
      <c r="T395" s="48"/>
      <c r="U395" s="48"/>
      <c r="V395" s="48"/>
    </row>
    <row r="396" spans="2:22" ht="41.25" customHeight="1" thickBot="1" x14ac:dyDescent="0.3">
      <c r="B396" s="1241"/>
      <c r="C396" s="1216"/>
      <c r="D396" s="674"/>
      <c r="E396" s="1208"/>
      <c r="F396" s="1256"/>
      <c r="G396" s="1202"/>
      <c r="H396" s="1210"/>
      <c r="I396" s="1208"/>
      <c r="J396" s="1208"/>
      <c r="K396" s="1208"/>
      <c r="L396" s="1208"/>
      <c r="M396" s="547" t="s">
        <v>745</v>
      </c>
      <c r="N396" s="549"/>
      <c r="O396" s="551">
        <v>0</v>
      </c>
      <c r="P396" s="551">
        <v>0</v>
      </c>
      <c r="Q396" s="552">
        <v>0</v>
      </c>
      <c r="R396" s="48"/>
      <c r="S396" s="48"/>
      <c r="T396" s="48"/>
      <c r="U396" s="48"/>
      <c r="V396" s="48"/>
    </row>
    <row r="397" spans="2:22" ht="25.5" customHeight="1" thickBot="1" x14ac:dyDescent="0.3">
      <c r="B397" s="1240" t="s">
        <v>172</v>
      </c>
      <c r="C397" s="1192" t="s">
        <v>557</v>
      </c>
      <c r="D397" s="673" t="s">
        <v>382</v>
      </c>
      <c r="E397" s="1199" t="s">
        <v>383</v>
      </c>
      <c r="F397" s="1201" t="s">
        <v>286</v>
      </c>
      <c r="G397" s="1201" t="s">
        <v>187</v>
      </c>
      <c r="H397" s="1209" t="s">
        <v>241</v>
      </c>
      <c r="I397" s="1199">
        <v>18</v>
      </c>
      <c r="J397" s="1199" t="s">
        <v>462</v>
      </c>
      <c r="K397" s="1199">
        <v>18</v>
      </c>
      <c r="L397" s="1199">
        <v>18</v>
      </c>
      <c r="M397" s="672" t="s">
        <v>122</v>
      </c>
      <c r="N397" s="550"/>
      <c r="O397" s="561">
        <f>O398+O399+O400</f>
        <v>1908.769</v>
      </c>
      <c r="P397" s="561">
        <f>P398+P399+P400</f>
        <v>1936.9580000000001</v>
      </c>
      <c r="Q397" s="552">
        <f>Q398+Q399+Q400</f>
        <v>1966.403</v>
      </c>
      <c r="R397" s="48"/>
      <c r="S397" s="48"/>
      <c r="T397" s="48"/>
      <c r="U397" s="48"/>
      <c r="V397" s="48"/>
    </row>
    <row r="398" spans="2:22" ht="24" customHeight="1" thickBot="1" x14ac:dyDescent="0.3">
      <c r="B398" s="1204"/>
      <c r="C398" s="1192"/>
      <c r="D398" s="680"/>
      <c r="E398" s="1199"/>
      <c r="F398" s="1201"/>
      <c r="G398" s="1201"/>
      <c r="H398" s="1209"/>
      <c r="I398" s="1199"/>
      <c r="J398" s="1199"/>
      <c r="K398" s="1199"/>
      <c r="L398" s="1199"/>
      <c r="M398" s="636" t="s">
        <v>123</v>
      </c>
      <c r="N398" s="549"/>
      <c r="O398" s="551">
        <v>0</v>
      </c>
      <c r="P398" s="551">
        <v>0</v>
      </c>
      <c r="Q398" s="552">
        <v>0</v>
      </c>
      <c r="R398" s="48"/>
      <c r="S398" s="48"/>
      <c r="T398" s="48"/>
      <c r="U398" s="48"/>
      <c r="V398" s="48"/>
    </row>
    <row r="399" spans="2:22" ht="24" customHeight="1" thickBot="1" x14ac:dyDescent="0.3">
      <c r="B399" s="1204"/>
      <c r="C399" s="1192"/>
      <c r="D399" s="680"/>
      <c r="E399" s="1199"/>
      <c r="F399" s="1201"/>
      <c r="G399" s="1201"/>
      <c r="H399" s="1209"/>
      <c r="I399" s="1199"/>
      <c r="J399" s="1199"/>
      <c r="K399" s="1199"/>
      <c r="L399" s="1199"/>
      <c r="M399" s="672" t="s">
        <v>124</v>
      </c>
      <c r="N399" s="550"/>
      <c r="O399" s="561">
        <v>1908.769</v>
      </c>
      <c r="P399" s="561">
        <v>1936.9580000000001</v>
      </c>
      <c r="Q399" s="562">
        <v>1966.403</v>
      </c>
      <c r="R399" s="48"/>
      <c r="S399" s="48"/>
      <c r="T399" s="48"/>
      <c r="U399" s="48"/>
      <c r="V399" s="48"/>
    </row>
    <row r="400" spans="2:22" ht="23.25" customHeight="1" thickBot="1" x14ac:dyDescent="0.3">
      <c r="B400" s="1241"/>
      <c r="C400" s="1239"/>
      <c r="D400" s="680"/>
      <c r="E400" s="1237"/>
      <c r="F400" s="1235"/>
      <c r="G400" s="1235"/>
      <c r="H400" s="1291"/>
      <c r="I400" s="1237"/>
      <c r="J400" s="1237"/>
      <c r="K400" s="1237"/>
      <c r="L400" s="1237"/>
      <c r="M400" s="547" t="s">
        <v>745</v>
      </c>
      <c r="N400" s="549"/>
      <c r="O400" s="551">
        <v>0</v>
      </c>
      <c r="P400" s="551">
        <v>0</v>
      </c>
      <c r="Q400" s="552">
        <v>0</v>
      </c>
      <c r="R400" s="48"/>
      <c r="S400" s="48"/>
      <c r="T400" s="48"/>
      <c r="U400" s="48"/>
      <c r="V400" s="48"/>
    </row>
    <row r="401" spans="2:22" ht="30" customHeight="1" thickBot="1" x14ac:dyDescent="0.3">
      <c r="B401" s="1240" t="s">
        <v>172</v>
      </c>
      <c r="C401" s="1238" t="s">
        <v>590</v>
      </c>
      <c r="D401" s="555">
        <v>27301835</v>
      </c>
      <c r="E401" s="1236" t="s">
        <v>384</v>
      </c>
      <c r="F401" s="1234" t="s">
        <v>286</v>
      </c>
      <c r="G401" s="1234" t="s">
        <v>187</v>
      </c>
      <c r="H401" s="1312" t="s">
        <v>241</v>
      </c>
      <c r="I401" s="1236">
        <f>146+249</f>
        <v>395</v>
      </c>
      <c r="J401" s="1236" t="s">
        <v>462</v>
      </c>
      <c r="K401" s="1236">
        <f>146+249</f>
        <v>395</v>
      </c>
      <c r="L401" s="1236">
        <f>146+249</f>
        <v>395</v>
      </c>
      <c r="M401" s="542" t="s">
        <v>122</v>
      </c>
      <c r="N401" s="543"/>
      <c r="O401" s="544">
        <v>10309.66</v>
      </c>
      <c r="P401" s="544">
        <v>10328.518</v>
      </c>
      <c r="Q401" s="675">
        <v>10340.816000000001</v>
      </c>
      <c r="R401" s="48"/>
      <c r="S401" s="48"/>
      <c r="T401" s="48"/>
      <c r="U401" s="48"/>
      <c r="V401" s="48"/>
    </row>
    <row r="402" spans="2:22" ht="30" customHeight="1" thickBot="1" x14ac:dyDescent="0.3">
      <c r="B402" s="1204"/>
      <c r="C402" s="1192"/>
      <c r="D402" s="555"/>
      <c r="E402" s="1199"/>
      <c r="F402" s="1201"/>
      <c r="G402" s="1201"/>
      <c r="H402" s="1209"/>
      <c r="I402" s="1199"/>
      <c r="J402" s="1199"/>
      <c r="K402" s="1199"/>
      <c r="L402" s="1199"/>
      <c r="M402" s="636" t="s">
        <v>123</v>
      </c>
      <c r="N402" s="549"/>
      <c r="O402" s="544">
        <v>391</v>
      </c>
      <c r="P402" s="544">
        <v>391</v>
      </c>
      <c r="Q402" s="675">
        <v>391</v>
      </c>
      <c r="R402" s="48"/>
      <c r="S402" s="48"/>
      <c r="T402" s="48"/>
      <c r="U402" s="48"/>
      <c r="V402" s="48"/>
    </row>
    <row r="403" spans="2:22" ht="25.5" customHeight="1" thickBot="1" x14ac:dyDescent="0.3">
      <c r="B403" s="1204"/>
      <c r="C403" s="1192"/>
      <c r="D403" s="555"/>
      <c r="E403" s="1199"/>
      <c r="F403" s="1201"/>
      <c r="G403" s="1201"/>
      <c r="H403" s="1209"/>
      <c r="I403" s="1199"/>
      <c r="J403" s="1199"/>
      <c r="K403" s="1199"/>
      <c r="L403" s="1199"/>
      <c r="M403" s="672" t="s">
        <v>124</v>
      </c>
      <c r="N403" s="550"/>
      <c r="O403" s="544">
        <f>O401-O402</f>
        <v>9918.66</v>
      </c>
      <c r="P403" s="544">
        <f>P401-P402</f>
        <v>9937.518</v>
      </c>
      <c r="Q403" s="675">
        <f>Q401-Q402</f>
        <v>9949.8160000000007</v>
      </c>
      <c r="R403" s="48"/>
      <c r="S403" s="48"/>
      <c r="T403" s="48"/>
      <c r="U403" s="48"/>
      <c r="V403" s="48"/>
    </row>
    <row r="404" spans="2:22" ht="27.75" customHeight="1" thickBot="1" x14ac:dyDescent="0.3">
      <c r="B404" s="1241"/>
      <c r="C404" s="1239"/>
      <c r="D404" s="555"/>
      <c r="E404" s="1237"/>
      <c r="F404" s="1235"/>
      <c r="G404" s="1235"/>
      <c r="H404" s="1291"/>
      <c r="I404" s="1237"/>
      <c r="J404" s="1237"/>
      <c r="K404" s="1237"/>
      <c r="L404" s="1237"/>
      <c r="M404" s="547" t="s">
        <v>745</v>
      </c>
      <c r="N404" s="549"/>
      <c r="O404" s="551">
        <v>0</v>
      </c>
      <c r="P404" s="551">
        <v>0</v>
      </c>
      <c r="Q404" s="552">
        <v>0</v>
      </c>
      <c r="R404" s="48"/>
      <c r="S404" s="48"/>
      <c r="T404" s="48"/>
      <c r="U404" s="48"/>
      <c r="V404" s="48"/>
    </row>
    <row r="405" spans="2:22" ht="29.25" customHeight="1" thickBot="1" x14ac:dyDescent="0.3">
      <c r="B405" s="1240" t="s">
        <v>172</v>
      </c>
      <c r="C405" s="1238" t="s">
        <v>590</v>
      </c>
      <c r="D405" s="555">
        <v>27301832</v>
      </c>
      <c r="E405" s="1236" t="s">
        <v>385</v>
      </c>
      <c r="F405" s="1234" t="s">
        <v>286</v>
      </c>
      <c r="G405" s="1236" t="s">
        <v>187</v>
      </c>
      <c r="H405" s="1312" t="s">
        <v>241</v>
      </c>
      <c r="I405" s="1236">
        <f>12+208+190</f>
        <v>410</v>
      </c>
      <c r="J405" s="1236" t="s">
        <v>462</v>
      </c>
      <c r="K405" s="1236">
        <f>12+208+190</f>
        <v>410</v>
      </c>
      <c r="L405" s="1236">
        <f>12+208+190</f>
        <v>410</v>
      </c>
      <c r="M405" s="542" t="s">
        <v>122</v>
      </c>
      <c r="N405" s="543"/>
      <c r="O405" s="561">
        <v>11295.402</v>
      </c>
      <c r="P405" s="561">
        <v>11070.638000000001</v>
      </c>
      <c r="Q405" s="562">
        <v>11087.688</v>
      </c>
      <c r="R405" s="48"/>
      <c r="S405" s="48"/>
      <c r="T405" s="48"/>
      <c r="U405" s="48"/>
      <c r="V405" s="48"/>
    </row>
    <row r="406" spans="2:22" ht="27.75" customHeight="1" thickBot="1" x14ac:dyDescent="0.3">
      <c r="B406" s="1204"/>
      <c r="C406" s="1192"/>
      <c r="D406" s="555"/>
      <c r="E406" s="1199"/>
      <c r="F406" s="1201"/>
      <c r="G406" s="1199"/>
      <c r="H406" s="1209"/>
      <c r="I406" s="1199"/>
      <c r="J406" s="1199"/>
      <c r="K406" s="1199"/>
      <c r="L406" s="1199"/>
      <c r="M406" s="636" t="s">
        <v>123</v>
      </c>
      <c r="N406" s="549"/>
      <c r="O406" s="544">
        <v>391</v>
      </c>
      <c r="P406" s="544">
        <v>391</v>
      </c>
      <c r="Q406" s="675">
        <v>391</v>
      </c>
      <c r="R406" s="48"/>
      <c r="S406" s="48"/>
      <c r="T406" s="48"/>
      <c r="U406" s="48"/>
      <c r="V406" s="48"/>
    </row>
    <row r="407" spans="2:22" ht="29.25" customHeight="1" thickBot="1" x14ac:dyDescent="0.3">
      <c r="B407" s="1204"/>
      <c r="C407" s="1192"/>
      <c r="D407" s="555"/>
      <c r="E407" s="1199"/>
      <c r="F407" s="1201"/>
      <c r="G407" s="1199"/>
      <c r="H407" s="1209"/>
      <c r="I407" s="1199"/>
      <c r="J407" s="1199"/>
      <c r="K407" s="1199"/>
      <c r="L407" s="1199"/>
      <c r="M407" s="672" t="s">
        <v>124</v>
      </c>
      <c r="N407" s="550"/>
      <c r="O407" s="544">
        <f>O405-O406</f>
        <v>10904.402</v>
      </c>
      <c r="P407" s="544">
        <f>P405-P406</f>
        <v>10679.638000000001</v>
      </c>
      <c r="Q407" s="552">
        <f>Q405-Q406</f>
        <v>10696.688</v>
      </c>
      <c r="R407" s="48"/>
      <c r="S407" s="48"/>
      <c r="T407" s="48"/>
      <c r="U407" s="48"/>
      <c r="V407" s="48"/>
    </row>
    <row r="408" spans="2:22" ht="26.25" customHeight="1" thickBot="1" x14ac:dyDescent="0.3">
      <c r="B408" s="1204"/>
      <c r="C408" s="1192"/>
      <c r="D408" s="555"/>
      <c r="E408" s="1199"/>
      <c r="F408" s="1202"/>
      <c r="G408" s="1199"/>
      <c r="H408" s="1209"/>
      <c r="I408" s="1199"/>
      <c r="J408" s="1199"/>
      <c r="K408" s="1199"/>
      <c r="L408" s="1199"/>
      <c r="M408" s="547" t="s">
        <v>745</v>
      </c>
      <c r="N408" s="549"/>
      <c r="O408" s="551">
        <v>0</v>
      </c>
      <c r="P408" s="551">
        <v>0</v>
      </c>
      <c r="Q408" s="552">
        <v>0</v>
      </c>
      <c r="R408" s="48"/>
      <c r="S408" s="48"/>
      <c r="T408" s="48"/>
      <c r="U408" s="48"/>
      <c r="V408" s="48"/>
    </row>
    <row r="409" spans="2:22" ht="27" customHeight="1" thickBot="1" x14ac:dyDescent="0.3">
      <c r="B409" s="1206" t="s">
        <v>172</v>
      </c>
      <c r="C409" s="1207" t="s">
        <v>590</v>
      </c>
      <c r="D409" s="555">
        <v>27302165</v>
      </c>
      <c r="E409" s="1207" t="s">
        <v>422</v>
      </c>
      <c r="F409" s="1200" t="s">
        <v>286</v>
      </c>
      <c r="G409" s="1200" t="s">
        <v>187</v>
      </c>
      <c r="H409" s="1232" t="s">
        <v>241</v>
      </c>
      <c r="I409" s="1207">
        <f>12+233+208</f>
        <v>453</v>
      </c>
      <c r="J409" s="1207" t="s">
        <v>462</v>
      </c>
      <c r="K409" s="1207">
        <f>12+233+208</f>
        <v>453</v>
      </c>
      <c r="L409" s="1207">
        <f>12+233+208</f>
        <v>453</v>
      </c>
      <c r="M409" s="542" t="s">
        <v>122</v>
      </c>
      <c r="N409" s="543"/>
      <c r="O409" s="544">
        <v>34547.086000000003</v>
      </c>
      <c r="P409" s="544">
        <v>34544.212</v>
      </c>
      <c r="Q409" s="675">
        <v>34575.173000000003</v>
      </c>
      <c r="R409" s="48"/>
      <c r="S409" s="48"/>
      <c r="T409" s="48"/>
      <c r="U409" s="48"/>
      <c r="V409" s="48"/>
    </row>
    <row r="410" spans="2:22" ht="24" customHeight="1" thickBot="1" x14ac:dyDescent="0.3">
      <c r="B410" s="1204"/>
      <c r="C410" s="1199"/>
      <c r="D410" s="555"/>
      <c r="E410" s="1199"/>
      <c r="F410" s="1201"/>
      <c r="G410" s="1201"/>
      <c r="H410" s="1209"/>
      <c r="I410" s="1199"/>
      <c r="J410" s="1199"/>
      <c r="K410" s="1199"/>
      <c r="L410" s="1199"/>
      <c r="M410" s="636" t="s">
        <v>123</v>
      </c>
      <c r="N410" s="549"/>
      <c r="O410" s="544">
        <v>445</v>
      </c>
      <c r="P410" s="544">
        <v>445</v>
      </c>
      <c r="Q410" s="675">
        <v>445</v>
      </c>
      <c r="R410" s="48"/>
      <c r="S410" s="48"/>
      <c r="T410" s="48"/>
      <c r="U410" s="48"/>
      <c r="V410" s="48"/>
    </row>
    <row r="411" spans="2:22" ht="21.75" customHeight="1" thickBot="1" x14ac:dyDescent="0.3">
      <c r="B411" s="1204"/>
      <c r="C411" s="1199"/>
      <c r="D411" s="555"/>
      <c r="E411" s="1199"/>
      <c r="F411" s="1201"/>
      <c r="G411" s="1201"/>
      <c r="H411" s="1209"/>
      <c r="I411" s="1199"/>
      <c r="J411" s="1199"/>
      <c r="K411" s="1199"/>
      <c r="L411" s="1199"/>
      <c r="M411" s="672" t="s">
        <v>124</v>
      </c>
      <c r="N411" s="550"/>
      <c r="O411" s="544">
        <f>O409-O410</f>
        <v>34102.086000000003</v>
      </c>
      <c r="P411" s="544">
        <f>P409-P410</f>
        <v>34099.212</v>
      </c>
      <c r="Q411" s="552">
        <f>Q409-Q410</f>
        <v>34130.173000000003</v>
      </c>
      <c r="R411" s="48"/>
      <c r="S411" s="48"/>
      <c r="T411" s="48"/>
      <c r="U411" s="48"/>
      <c r="V411" s="48"/>
    </row>
    <row r="412" spans="2:22" ht="22.5" customHeight="1" thickBot="1" x14ac:dyDescent="0.3">
      <c r="B412" s="1205"/>
      <c r="C412" s="1208"/>
      <c r="D412" s="555"/>
      <c r="E412" s="1208"/>
      <c r="F412" s="1202"/>
      <c r="G412" s="1202"/>
      <c r="H412" s="1210"/>
      <c r="I412" s="1208"/>
      <c r="J412" s="1208"/>
      <c r="K412" s="1208"/>
      <c r="L412" s="1208"/>
      <c r="M412" s="547" t="s">
        <v>745</v>
      </c>
      <c r="N412" s="549"/>
      <c r="O412" s="551">
        <v>0</v>
      </c>
      <c r="P412" s="551">
        <v>0</v>
      </c>
      <c r="Q412" s="552">
        <v>0</v>
      </c>
      <c r="R412" s="48"/>
      <c r="S412" s="48"/>
      <c r="T412" s="48"/>
      <c r="U412" s="48"/>
      <c r="V412" s="48"/>
    </row>
    <row r="413" spans="2:22" ht="21.75" customHeight="1" thickBot="1" x14ac:dyDescent="0.3">
      <c r="B413" s="1206" t="s">
        <v>172</v>
      </c>
      <c r="C413" s="1207" t="s">
        <v>590</v>
      </c>
      <c r="D413" s="555">
        <v>27301821</v>
      </c>
      <c r="E413" s="1207" t="s">
        <v>525</v>
      </c>
      <c r="F413" s="1201" t="s">
        <v>286</v>
      </c>
      <c r="G413" s="1200" t="s">
        <v>187</v>
      </c>
      <c r="H413" s="1209" t="s">
        <v>241</v>
      </c>
      <c r="I413" s="1207">
        <f>4+99+160+6+74+120</f>
        <v>463</v>
      </c>
      <c r="J413" s="1207" t="s">
        <v>462</v>
      </c>
      <c r="K413" s="1207">
        <f>4+99+160+6+74+120</f>
        <v>463</v>
      </c>
      <c r="L413" s="1207">
        <f>4+99+160+6+74+120</f>
        <v>463</v>
      </c>
      <c r="M413" s="542" t="s">
        <v>122</v>
      </c>
      <c r="N413" s="543"/>
      <c r="O413" s="561">
        <v>13270.207</v>
      </c>
      <c r="P413" s="561">
        <v>16998.723000000002</v>
      </c>
      <c r="Q413" s="562">
        <v>16998.798999999999</v>
      </c>
      <c r="R413" s="48"/>
      <c r="S413" s="48"/>
      <c r="T413" s="48"/>
      <c r="U413" s="48"/>
      <c r="V413" s="48"/>
    </row>
    <row r="414" spans="2:22" ht="18.75" customHeight="1" thickBot="1" x14ac:dyDescent="0.3">
      <c r="B414" s="1204"/>
      <c r="C414" s="1199"/>
      <c r="D414" s="680"/>
      <c r="E414" s="1199"/>
      <c r="F414" s="1201"/>
      <c r="G414" s="1201"/>
      <c r="H414" s="1209"/>
      <c r="I414" s="1199"/>
      <c r="J414" s="1199"/>
      <c r="K414" s="1199"/>
      <c r="L414" s="1199"/>
      <c r="M414" s="636" t="s">
        <v>123</v>
      </c>
      <c r="N414" s="549"/>
      <c r="O414" s="544">
        <v>465</v>
      </c>
      <c r="P414" s="544">
        <v>465</v>
      </c>
      <c r="Q414" s="675">
        <v>465</v>
      </c>
      <c r="R414" s="48"/>
      <c r="S414" s="48"/>
      <c r="T414" s="48"/>
      <c r="U414" s="48"/>
      <c r="V414" s="48"/>
    </row>
    <row r="415" spans="2:22" ht="18.75" customHeight="1" thickBot="1" x14ac:dyDescent="0.3">
      <c r="B415" s="1204"/>
      <c r="C415" s="1199"/>
      <c r="D415" s="680"/>
      <c r="E415" s="1199"/>
      <c r="F415" s="1201"/>
      <c r="G415" s="1201"/>
      <c r="H415" s="1209"/>
      <c r="I415" s="1199"/>
      <c r="J415" s="1199"/>
      <c r="K415" s="1199"/>
      <c r="L415" s="1199"/>
      <c r="M415" s="672" t="s">
        <v>124</v>
      </c>
      <c r="N415" s="550"/>
      <c r="O415" s="544">
        <f>O413-O414</f>
        <v>12805.207</v>
      </c>
      <c r="P415" s="544">
        <f>P413-P414</f>
        <v>16533.723000000002</v>
      </c>
      <c r="Q415" s="552">
        <f>Q413-Q414</f>
        <v>16533.798999999999</v>
      </c>
      <c r="R415" s="48"/>
      <c r="S415" s="48"/>
      <c r="T415" s="48"/>
      <c r="U415" s="48"/>
      <c r="V415" s="48"/>
    </row>
    <row r="416" spans="2:22" ht="21" customHeight="1" thickBot="1" x14ac:dyDescent="0.3">
      <c r="B416" s="1205"/>
      <c r="C416" s="1208"/>
      <c r="D416" s="680"/>
      <c r="E416" s="1208"/>
      <c r="F416" s="1202"/>
      <c r="G416" s="1202"/>
      <c r="H416" s="1210"/>
      <c r="I416" s="1208"/>
      <c r="J416" s="1208"/>
      <c r="K416" s="1208"/>
      <c r="L416" s="1208"/>
      <c r="M416" s="547" t="s">
        <v>745</v>
      </c>
      <c r="N416" s="549"/>
      <c r="O416" s="551">
        <v>0</v>
      </c>
      <c r="P416" s="551">
        <v>0</v>
      </c>
      <c r="Q416" s="552">
        <v>0</v>
      </c>
      <c r="R416" s="48"/>
      <c r="S416" s="48"/>
      <c r="T416" s="48"/>
      <c r="U416" s="48"/>
      <c r="V416" s="48"/>
    </row>
    <row r="417" spans="2:22" ht="25.5" customHeight="1" thickBot="1" x14ac:dyDescent="0.3">
      <c r="B417" s="1269" t="s">
        <v>172</v>
      </c>
      <c r="C417" s="1207" t="s">
        <v>590</v>
      </c>
      <c r="D417" s="1229">
        <v>27301829</v>
      </c>
      <c r="E417" s="1207" t="s">
        <v>426</v>
      </c>
      <c r="F417" s="1200" t="s">
        <v>286</v>
      </c>
      <c r="G417" s="1200" t="s">
        <v>187</v>
      </c>
      <c r="H417" s="1232" t="s">
        <v>241</v>
      </c>
      <c r="I417" s="1207">
        <f>1+11+58+126</f>
        <v>196</v>
      </c>
      <c r="J417" s="1207" t="s">
        <v>462</v>
      </c>
      <c r="K417" s="1207">
        <f>1+11+58+126</f>
        <v>196</v>
      </c>
      <c r="L417" s="1207">
        <f>1+11+58+126</f>
        <v>196</v>
      </c>
      <c r="M417" s="542" t="s">
        <v>122</v>
      </c>
      <c r="N417" s="543"/>
      <c r="O417" s="544">
        <v>13979.257</v>
      </c>
      <c r="P417" s="544">
        <v>13793.239</v>
      </c>
      <c r="Q417" s="675">
        <v>13807.733</v>
      </c>
      <c r="R417" s="48"/>
      <c r="S417" s="48"/>
      <c r="T417" s="48"/>
      <c r="U417" s="48"/>
      <c r="V417" s="48"/>
    </row>
    <row r="418" spans="2:22" ht="35.25" customHeight="1" thickBot="1" x14ac:dyDescent="0.3">
      <c r="B418" s="1270"/>
      <c r="C418" s="1199"/>
      <c r="D418" s="1230"/>
      <c r="E418" s="1199"/>
      <c r="F418" s="1202"/>
      <c r="G418" s="1202"/>
      <c r="H418" s="1210"/>
      <c r="I418" s="1208"/>
      <c r="J418" s="1199"/>
      <c r="K418" s="1208"/>
      <c r="L418" s="1208"/>
      <c r="M418" s="636" t="s">
        <v>123</v>
      </c>
      <c r="N418" s="549"/>
      <c r="O418" s="544">
        <v>226</v>
      </c>
      <c r="P418" s="544">
        <v>226</v>
      </c>
      <c r="Q418" s="675">
        <v>226</v>
      </c>
      <c r="R418" s="48"/>
      <c r="S418" s="48"/>
      <c r="T418" s="48"/>
      <c r="U418" s="48"/>
      <c r="V418" s="48"/>
    </row>
    <row r="419" spans="2:22" ht="22.5" customHeight="1" thickBot="1" x14ac:dyDescent="0.3">
      <c r="B419" s="1270"/>
      <c r="C419" s="1199"/>
      <c r="D419" s="1245"/>
      <c r="E419" s="1199"/>
      <c r="F419" s="1198" t="s">
        <v>448</v>
      </c>
      <c r="G419" s="1201" t="s">
        <v>187</v>
      </c>
      <c r="H419" s="1209" t="s">
        <v>241</v>
      </c>
      <c r="I419" s="1199">
        <f>4+7+8+3+10+5</f>
        <v>37</v>
      </c>
      <c r="J419" s="1199"/>
      <c r="K419" s="1199">
        <f>4+7+8+3+10+5</f>
        <v>37</v>
      </c>
      <c r="L419" s="1199">
        <f>4+7+8+3+10+5</f>
        <v>37</v>
      </c>
      <c r="M419" s="672" t="s">
        <v>124</v>
      </c>
      <c r="N419" s="550"/>
      <c r="O419" s="544">
        <f>O417-O418</f>
        <v>13753.257</v>
      </c>
      <c r="P419" s="544">
        <f>P417-P418</f>
        <v>13567.239</v>
      </c>
      <c r="Q419" s="675">
        <f>Q417-Q418</f>
        <v>13581.733</v>
      </c>
      <c r="R419" s="48"/>
      <c r="S419" s="48"/>
      <c r="T419" s="48"/>
      <c r="U419" s="48"/>
      <c r="V419" s="48"/>
    </row>
    <row r="420" spans="2:22" ht="35.25" customHeight="1" thickBot="1" x14ac:dyDescent="0.3">
      <c r="B420" s="1271"/>
      <c r="C420" s="1208"/>
      <c r="D420" s="674"/>
      <c r="E420" s="1208"/>
      <c r="F420" s="1313"/>
      <c r="G420" s="1202"/>
      <c r="H420" s="1210"/>
      <c r="I420" s="1208"/>
      <c r="J420" s="1208"/>
      <c r="K420" s="1208"/>
      <c r="L420" s="1208"/>
      <c r="M420" s="547" t="s">
        <v>745</v>
      </c>
      <c r="N420" s="549"/>
      <c r="O420" s="551">
        <v>0</v>
      </c>
      <c r="P420" s="551">
        <v>0</v>
      </c>
      <c r="Q420" s="552">
        <v>0</v>
      </c>
      <c r="R420" s="48"/>
      <c r="S420" s="48"/>
      <c r="T420" s="48"/>
      <c r="U420" s="48"/>
      <c r="V420" s="48"/>
    </row>
    <row r="421" spans="2:22" ht="29.25" customHeight="1" thickBot="1" x14ac:dyDescent="0.3">
      <c r="B421" s="1269" t="s">
        <v>172</v>
      </c>
      <c r="C421" s="1207" t="s">
        <v>590</v>
      </c>
      <c r="D421" s="573">
        <v>27301967</v>
      </c>
      <c r="E421" s="1229" t="s">
        <v>459</v>
      </c>
      <c r="F421" s="1200" t="str">
        <f>F401</f>
        <v xml:space="preserve">Спортивная подготовка по олимпийским видам спорта </v>
      </c>
      <c r="G421" s="1200" t="s">
        <v>187</v>
      </c>
      <c r="H421" s="1232" t="s">
        <v>241</v>
      </c>
      <c r="I421" s="1207" t="s">
        <v>553</v>
      </c>
      <c r="J421" s="1207" t="s">
        <v>462</v>
      </c>
      <c r="K421" s="1207" t="s">
        <v>553</v>
      </c>
      <c r="L421" s="1207" t="s">
        <v>553</v>
      </c>
      <c r="M421" s="542" t="s">
        <v>122</v>
      </c>
      <c r="N421" s="543"/>
      <c r="O421" s="544">
        <f>O422+O423+O424</f>
        <v>3389.8820000000001</v>
      </c>
      <c r="P421" s="544">
        <f>P422+P423+P424</f>
        <v>3094.1529999999998</v>
      </c>
      <c r="Q421" s="552">
        <f>Q422+Q423+Q424</f>
        <v>3116.6320000000001</v>
      </c>
      <c r="R421" s="48"/>
      <c r="S421" s="48"/>
      <c r="T421" s="48"/>
      <c r="U421" s="48"/>
      <c r="V421" s="48"/>
    </row>
    <row r="422" spans="2:22" ht="24.75" customHeight="1" thickBot="1" x14ac:dyDescent="0.3">
      <c r="B422" s="1270"/>
      <c r="C422" s="1199"/>
      <c r="D422" s="682"/>
      <c r="E422" s="1230"/>
      <c r="F422" s="1201"/>
      <c r="G422" s="1201"/>
      <c r="H422" s="1209"/>
      <c r="I422" s="1199"/>
      <c r="J422" s="1199"/>
      <c r="K422" s="1199"/>
      <c r="L422" s="1199"/>
      <c r="M422" s="636" t="s">
        <v>123</v>
      </c>
      <c r="N422" s="549"/>
      <c r="O422" s="551">
        <v>0</v>
      </c>
      <c r="P422" s="551">
        <v>0</v>
      </c>
      <c r="Q422" s="552">
        <v>0</v>
      </c>
      <c r="R422" s="48"/>
      <c r="S422" s="48"/>
      <c r="T422" s="48"/>
      <c r="U422" s="48"/>
      <c r="V422" s="48"/>
    </row>
    <row r="423" spans="2:22" ht="26.25" customHeight="1" thickBot="1" x14ac:dyDescent="0.3">
      <c r="B423" s="1270"/>
      <c r="C423" s="1199"/>
      <c r="D423" s="682"/>
      <c r="E423" s="1230"/>
      <c r="F423" s="1201"/>
      <c r="G423" s="1201"/>
      <c r="H423" s="1209"/>
      <c r="I423" s="1199"/>
      <c r="J423" s="1199"/>
      <c r="K423" s="1199"/>
      <c r="L423" s="1199"/>
      <c r="M423" s="672" t="s">
        <v>124</v>
      </c>
      <c r="N423" s="550"/>
      <c r="O423" s="544">
        <v>3389.8820000000001</v>
      </c>
      <c r="P423" s="544">
        <v>3094.1529999999998</v>
      </c>
      <c r="Q423" s="675">
        <v>3116.6320000000001</v>
      </c>
      <c r="R423" s="48"/>
      <c r="S423" s="48"/>
      <c r="T423" s="48"/>
      <c r="U423" s="48"/>
      <c r="V423" s="48"/>
    </row>
    <row r="424" spans="2:22" ht="26.25" customHeight="1" thickBot="1" x14ac:dyDescent="0.3">
      <c r="B424" s="1271"/>
      <c r="C424" s="1208"/>
      <c r="D424" s="674"/>
      <c r="E424" s="1231"/>
      <c r="F424" s="1202"/>
      <c r="G424" s="1202"/>
      <c r="H424" s="1210"/>
      <c r="I424" s="1208"/>
      <c r="J424" s="1208"/>
      <c r="K424" s="1208"/>
      <c r="L424" s="1208"/>
      <c r="M424" s="547" t="s">
        <v>745</v>
      </c>
      <c r="N424" s="549"/>
      <c r="O424" s="551">
        <v>0</v>
      </c>
      <c r="P424" s="551">
        <v>0</v>
      </c>
      <c r="Q424" s="552">
        <v>0</v>
      </c>
      <c r="R424" s="48"/>
      <c r="S424" s="48"/>
      <c r="T424" s="48"/>
      <c r="U424" s="48"/>
      <c r="V424" s="48"/>
    </row>
    <row r="425" spans="2:22" ht="25.5" customHeight="1" thickBot="1" x14ac:dyDescent="0.3">
      <c r="B425" s="1206" t="s">
        <v>172</v>
      </c>
      <c r="C425" s="1215" t="s">
        <v>590</v>
      </c>
      <c r="D425" s="654" t="s">
        <v>532</v>
      </c>
      <c r="E425" s="1207" t="s">
        <v>460</v>
      </c>
      <c r="F425" s="1200" t="s">
        <v>286</v>
      </c>
      <c r="G425" s="1200" t="s">
        <v>187</v>
      </c>
      <c r="H425" s="1232" t="s">
        <v>241</v>
      </c>
      <c r="I425" s="1207">
        <f>87+69+3+20+28+30</f>
        <v>237</v>
      </c>
      <c r="J425" s="1207" t="s">
        <v>462</v>
      </c>
      <c r="K425" s="1207">
        <f>87+69+3+20+28+30</f>
        <v>237</v>
      </c>
      <c r="L425" s="1207">
        <f>87+69+3+20+28+30</f>
        <v>237</v>
      </c>
      <c r="M425" s="542" t="s">
        <v>122</v>
      </c>
      <c r="N425" s="543"/>
      <c r="O425" s="544">
        <f>O426+O427+O428</f>
        <v>29738.011999999999</v>
      </c>
      <c r="P425" s="544">
        <f>P426+P427+P428</f>
        <v>30539.391</v>
      </c>
      <c r="Q425" s="675">
        <f>Q426+Q427+Q428</f>
        <v>30659.409</v>
      </c>
      <c r="R425" s="48"/>
      <c r="S425" s="48"/>
      <c r="T425" s="48"/>
      <c r="U425" s="48"/>
      <c r="V425" s="48"/>
    </row>
    <row r="426" spans="2:22" ht="24" customHeight="1" thickBot="1" x14ac:dyDescent="0.3">
      <c r="B426" s="1204"/>
      <c r="C426" s="1192"/>
      <c r="D426" s="682"/>
      <c r="E426" s="1199"/>
      <c r="F426" s="1201"/>
      <c r="G426" s="1201"/>
      <c r="H426" s="1209"/>
      <c r="I426" s="1199"/>
      <c r="J426" s="1199"/>
      <c r="K426" s="1199"/>
      <c r="L426" s="1199"/>
      <c r="M426" s="636" t="s">
        <v>123</v>
      </c>
      <c r="N426" s="549"/>
      <c r="O426" s="551">
        <v>0</v>
      </c>
      <c r="P426" s="551">
        <v>0</v>
      </c>
      <c r="Q426" s="552">
        <v>0</v>
      </c>
      <c r="R426" s="48"/>
      <c r="S426" s="48"/>
      <c r="T426" s="48"/>
      <c r="U426" s="48"/>
      <c r="V426" s="48"/>
    </row>
    <row r="427" spans="2:22" ht="25.5" customHeight="1" thickBot="1" x14ac:dyDescent="0.3">
      <c r="B427" s="1204"/>
      <c r="C427" s="1192"/>
      <c r="D427" s="682"/>
      <c r="E427" s="1199"/>
      <c r="F427" s="1201"/>
      <c r="G427" s="1201"/>
      <c r="H427" s="1209"/>
      <c r="I427" s="1199"/>
      <c r="J427" s="1199"/>
      <c r="K427" s="1199"/>
      <c r="L427" s="1199"/>
      <c r="M427" s="672" t="s">
        <v>124</v>
      </c>
      <c r="N427" s="550"/>
      <c r="O427" s="544">
        <v>29738.011999999999</v>
      </c>
      <c r="P427" s="544">
        <v>30539.391</v>
      </c>
      <c r="Q427" s="675">
        <v>30659.409</v>
      </c>
      <c r="R427" s="48"/>
      <c r="S427" s="48"/>
      <c r="T427" s="48"/>
      <c r="U427" s="48"/>
      <c r="V427" s="48"/>
    </row>
    <row r="428" spans="2:22" ht="26.25" customHeight="1" thickBot="1" x14ac:dyDescent="0.3">
      <c r="B428" s="1205"/>
      <c r="C428" s="1216"/>
      <c r="D428" s="674"/>
      <c r="E428" s="1208"/>
      <c r="F428" s="1202"/>
      <c r="G428" s="1202"/>
      <c r="H428" s="1210"/>
      <c r="I428" s="1208"/>
      <c r="J428" s="1208"/>
      <c r="K428" s="1208"/>
      <c r="L428" s="1208"/>
      <c r="M428" s="547" t="s">
        <v>745</v>
      </c>
      <c r="N428" s="549"/>
      <c r="O428" s="551">
        <v>0</v>
      </c>
      <c r="P428" s="551">
        <v>0</v>
      </c>
      <c r="Q428" s="552">
        <v>0</v>
      </c>
      <c r="R428" s="48"/>
      <c r="S428" s="48"/>
      <c r="T428" s="48"/>
      <c r="U428" s="48"/>
      <c r="V428" s="48"/>
    </row>
    <row r="429" spans="2:22" ht="26.25" customHeight="1" thickBot="1" x14ac:dyDescent="0.3">
      <c r="B429" s="1206" t="s">
        <v>172</v>
      </c>
      <c r="C429" s="1215" t="s">
        <v>590</v>
      </c>
      <c r="D429" s="673"/>
      <c r="E429" s="1207" t="s">
        <v>458</v>
      </c>
      <c r="F429" s="1200" t="s">
        <v>286</v>
      </c>
      <c r="G429" s="1200" t="s">
        <v>187</v>
      </c>
      <c r="H429" s="1232" t="s">
        <v>241</v>
      </c>
      <c r="I429" s="1207">
        <f>87+69+3+20+28+30</f>
        <v>237</v>
      </c>
      <c r="J429" s="1207" t="s">
        <v>462</v>
      </c>
      <c r="K429" s="1207">
        <v>3</v>
      </c>
      <c r="L429" s="1207">
        <v>3</v>
      </c>
      <c r="M429" s="542" t="s">
        <v>122</v>
      </c>
      <c r="N429" s="543"/>
      <c r="O429" s="544">
        <f>O430+O431+O432</f>
        <v>647.947</v>
      </c>
      <c r="P429" s="544">
        <f>P430+P431+P432</f>
        <v>1500.095</v>
      </c>
      <c r="Q429" s="675">
        <f>Q430+Q431+Q432</f>
        <v>1526.5940000000001</v>
      </c>
      <c r="R429" s="48"/>
      <c r="S429" s="48"/>
      <c r="T429" s="48"/>
      <c r="U429" s="48"/>
      <c r="V429" s="48"/>
    </row>
    <row r="430" spans="2:22" ht="26.25" customHeight="1" thickBot="1" x14ac:dyDescent="0.3">
      <c r="B430" s="1204"/>
      <c r="C430" s="1192"/>
      <c r="D430" s="673"/>
      <c r="E430" s="1199"/>
      <c r="F430" s="1201"/>
      <c r="G430" s="1201"/>
      <c r="H430" s="1209"/>
      <c r="I430" s="1199"/>
      <c r="J430" s="1199"/>
      <c r="K430" s="1199"/>
      <c r="L430" s="1199"/>
      <c r="M430" s="636" t="s">
        <v>123</v>
      </c>
      <c r="N430" s="543"/>
      <c r="O430" s="551">
        <v>0</v>
      </c>
      <c r="P430" s="551">
        <v>0</v>
      </c>
      <c r="Q430" s="552">
        <v>0</v>
      </c>
      <c r="R430" s="48"/>
      <c r="S430" s="48"/>
      <c r="T430" s="48"/>
      <c r="U430" s="48"/>
      <c r="V430" s="48"/>
    </row>
    <row r="431" spans="2:22" ht="26.25" customHeight="1" thickBot="1" x14ac:dyDescent="0.3">
      <c r="B431" s="1204"/>
      <c r="C431" s="1192"/>
      <c r="D431" s="673"/>
      <c r="E431" s="1199"/>
      <c r="F431" s="1201"/>
      <c r="G431" s="1201"/>
      <c r="H431" s="1209"/>
      <c r="I431" s="1199"/>
      <c r="J431" s="1199"/>
      <c r="K431" s="1199"/>
      <c r="L431" s="1199"/>
      <c r="M431" s="672" t="s">
        <v>124</v>
      </c>
      <c r="N431" s="543"/>
      <c r="O431" s="544">
        <v>647.947</v>
      </c>
      <c r="P431" s="544">
        <v>1500.095</v>
      </c>
      <c r="Q431" s="675">
        <v>1526.5940000000001</v>
      </c>
      <c r="R431" s="48"/>
      <c r="S431" s="48"/>
      <c r="T431" s="48"/>
      <c r="U431" s="48"/>
      <c r="V431" s="48"/>
    </row>
    <row r="432" spans="2:22" ht="26.25" customHeight="1" thickBot="1" x14ac:dyDescent="0.3">
      <c r="B432" s="1205"/>
      <c r="C432" s="1216"/>
      <c r="D432" s="673"/>
      <c r="E432" s="1208"/>
      <c r="F432" s="1202"/>
      <c r="G432" s="1202"/>
      <c r="H432" s="1210"/>
      <c r="I432" s="1208"/>
      <c r="J432" s="1208"/>
      <c r="K432" s="1208"/>
      <c r="L432" s="1208"/>
      <c r="M432" s="547" t="s">
        <v>745</v>
      </c>
      <c r="N432" s="543"/>
      <c r="O432" s="551">
        <v>0</v>
      </c>
      <c r="P432" s="551">
        <v>0</v>
      </c>
      <c r="Q432" s="552">
        <v>0</v>
      </c>
      <c r="R432" s="48"/>
      <c r="S432" s="48"/>
      <c r="T432" s="48"/>
      <c r="U432" s="48"/>
      <c r="V432" s="48"/>
    </row>
    <row r="433" spans="2:22" ht="26.25" customHeight="1" thickBot="1" x14ac:dyDescent="0.3">
      <c r="B433" s="1206" t="s">
        <v>172</v>
      </c>
      <c r="C433" s="1215" t="s">
        <v>590</v>
      </c>
      <c r="D433" s="673"/>
      <c r="E433" s="1207" t="s">
        <v>912</v>
      </c>
      <c r="F433" s="1200" t="s">
        <v>901</v>
      </c>
      <c r="G433" s="1200" t="s">
        <v>902</v>
      </c>
      <c r="H433" s="1207" t="s">
        <v>241</v>
      </c>
      <c r="I433" s="1207">
        <v>180</v>
      </c>
      <c r="J433" s="1207" t="s">
        <v>528</v>
      </c>
      <c r="K433" s="1207">
        <v>0</v>
      </c>
      <c r="L433" s="1207">
        <v>0</v>
      </c>
      <c r="M433" s="542" t="s">
        <v>122</v>
      </c>
      <c r="N433" s="543"/>
      <c r="O433" s="544">
        <f>O434+O435+O436</f>
        <v>2515.46</v>
      </c>
      <c r="P433" s="544">
        <f>P434+P435+P436</f>
        <v>0</v>
      </c>
      <c r="Q433" s="675">
        <f>Q434+Q435+Q436</f>
        <v>0</v>
      </c>
      <c r="R433" s="48"/>
      <c r="S433" s="48"/>
      <c r="T433" s="48"/>
      <c r="U433" s="48"/>
      <c r="V433" s="48"/>
    </row>
    <row r="434" spans="2:22" ht="26.25" customHeight="1" thickBot="1" x14ac:dyDescent="0.3">
      <c r="B434" s="1204"/>
      <c r="C434" s="1192"/>
      <c r="D434" s="673"/>
      <c r="E434" s="1199"/>
      <c r="F434" s="1201"/>
      <c r="G434" s="1201"/>
      <c r="H434" s="1199"/>
      <c r="I434" s="1199"/>
      <c r="J434" s="1199"/>
      <c r="K434" s="1199"/>
      <c r="L434" s="1199"/>
      <c r="M434" s="636" t="s">
        <v>123</v>
      </c>
      <c r="N434" s="543"/>
      <c r="O434" s="551">
        <v>2515.46</v>
      </c>
      <c r="P434" s="551">
        <v>0</v>
      </c>
      <c r="Q434" s="552">
        <v>0</v>
      </c>
      <c r="R434" s="48"/>
      <c r="S434" s="48"/>
      <c r="T434" s="48"/>
      <c r="U434" s="48"/>
      <c r="V434" s="48"/>
    </row>
    <row r="435" spans="2:22" ht="26.25" customHeight="1" thickBot="1" x14ac:dyDescent="0.3">
      <c r="B435" s="1204"/>
      <c r="C435" s="1192"/>
      <c r="D435" s="673"/>
      <c r="E435" s="1199"/>
      <c r="F435" s="1201"/>
      <c r="G435" s="1201"/>
      <c r="H435" s="1199"/>
      <c r="I435" s="1199"/>
      <c r="J435" s="1199"/>
      <c r="K435" s="1199"/>
      <c r="L435" s="1199"/>
      <c r="M435" s="672" t="s">
        <v>124</v>
      </c>
      <c r="N435" s="543"/>
      <c r="O435" s="544">
        <v>0</v>
      </c>
      <c r="P435" s="544">
        <v>0</v>
      </c>
      <c r="Q435" s="675">
        <v>0</v>
      </c>
      <c r="R435" s="48"/>
      <c r="S435" s="48"/>
      <c r="T435" s="48"/>
      <c r="U435" s="48"/>
      <c r="V435" s="48"/>
    </row>
    <row r="436" spans="2:22" ht="26.25" customHeight="1" thickBot="1" x14ac:dyDescent="0.3">
      <c r="B436" s="1205"/>
      <c r="C436" s="1216"/>
      <c r="D436" s="673"/>
      <c r="E436" s="1208"/>
      <c r="F436" s="1202"/>
      <c r="G436" s="1202"/>
      <c r="H436" s="1208"/>
      <c r="I436" s="1208"/>
      <c r="J436" s="1208"/>
      <c r="K436" s="1208"/>
      <c r="L436" s="1208"/>
      <c r="M436" s="547" t="s">
        <v>745</v>
      </c>
      <c r="N436" s="543"/>
      <c r="O436" s="551">
        <v>0</v>
      </c>
      <c r="P436" s="551">
        <v>0</v>
      </c>
      <c r="Q436" s="552">
        <v>0</v>
      </c>
      <c r="R436" s="48"/>
      <c r="S436" s="48"/>
      <c r="T436" s="48"/>
      <c r="U436" s="48"/>
      <c r="V436" s="48"/>
    </row>
    <row r="437" spans="2:22" ht="24.75" customHeight="1" thickBot="1" x14ac:dyDescent="0.3">
      <c r="B437" s="1206" t="s">
        <v>172</v>
      </c>
      <c r="C437" s="1215" t="s">
        <v>590</v>
      </c>
      <c r="D437" s="654">
        <v>27300364</v>
      </c>
      <c r="E437" s="1207" t="s">
        <v>192</v>
      </c>
      <c r="F437" s="1200" t="s">
        <v>635</v>
      </c>
      <c r="G437" s="1207" t="s">
        <v>116</v>
      </c>
      <c r="H437" s="1232" t="s">
        <v>116</v>
      </c>
      <c r="I437" s="1207" t="s">
        <v>116</v>
      </c>
      <c r="J437" s="1207" t="s">
        <v>462</v>
      </c>
      <c r="K437" s="1207" t="s">
        <v>116</v>
      </c>
      <c r="L437" s="1207" t="s">
        <v>116</v>
      </c>
      <c r="M437" s="542" t="s">
        <v>122</v>
      </c>
      <c r="N437" s="543"/>
      <c r="O437" s="544">
        <f>O438+O439+O440</f>
        <v>821.63</v>
      </c>
      <c r="P437" s="544">
        <f>P438+P439+P440</f>
        <v>3082.58</v>
      </c>
      <c r="Q437" s="675">
        <f>Q438+Q439+Q440</f>
        <v>3050.85</v>
      </c>
      <c r="R437" s="48">
        <f>R438+R439</f>
        <v>2242.77</v>
      </c>
      <c r="S437" s="48">
        <f>S438+S439</f>
        <v>2129.19</v>
      </c>
      <c r="T437" s="48">
        <f>T438+T439</f>
        <v>2097.5300000000002</v>
      </c>
      <c r="U437" s="48"/>
      <c r="V437" s="48"/>
    </row>
    <row r="438" spans="2:22" ht="24" customHeight="1" thickBot="1" x14ac:dyDescent="0.3">
      <c r="B438" s="1204"/>
      <c r="C438" s="1192"/>
      <c r="D438" s="555"/>
      <c r="E438" s="1199"/>
      <c r="F438" s="1201"/>
      <c r="G438" s="1199"/>
      <c r="H438" s="1209"/>
      <c r="I438" s="1199"/>
      <c r="J438" s="1199"/>
      <c r="K438" s="1199"/>
      <c r="L438" s="1199"/>
      <c r="M438" s="636" t="s">
        <v>123</v>
      </c>
      <c r="N438" s="549"/>
      <c r="O438" s="544">
        <v>0</v>
      </c>
      <c r="P438" s="544">
        <v>0</v>
      </c>
      <c r="Q438" s="675">
        <v>0</v>
      </c>
      <c r="R438" s="48">
        <v>0</v>
      </c>
      <c r="S438" s="48">
        <v>0</v>
      </c>
      <c r="T438" s="48">
        <v>0</v>
      </c>
      <c r="U438" s="48"/>
      <c r="V438" s="48"/>
    </row>
    <row r="439" spans="2:22" ht="24.75" customHeight="1" thickBot="1" x14ac:dyDescent="0.3">
      <c r="B439" s="1204"/>
      <c r="C439" s="1192"/>
      <c r="D439" s="555"/>
      <c r="E439" s="1199"/>
      <c r="F439" s="1201"/>
      <c r="G439" s="1199"/>
      <c r="H439" s="1209"/>
      <c r="I439" s="1199"/>
      <c r="J439" s="1199"/>
      <c r="K439" s="1199"/>
      <c r="L439" s="1199"/>
      <c r="M439" s="672" t="s">
        <v>124</v>
      </c>
      <c r="N439" s="550"/>
      <c r="O439" s="544">
        <v>821.63</v>
      </c>
      <c r="P439" s="544">
        <v>3082.58</v>
      </c>
      <c r="Q439" s="675">
        <v>3050.85</v>
      </c>
      <c r="R439" s="48">
        <v>2242.77</v>
      </c>
      <c r="S439" s="48">
        <v>2129.19</v>
      </c>
      <c r="T439" s="48">
        <v>2097.5300000000002</v>
      </c>
      <c r="U439" s="48"/>
      <c r="V439" s="48"/>
    </row>
    <row r="440" spans="2:22" ht="24" customHeight="1" thickBot="1" x14ac:dyDescent="0.3">
      <c r="B440" s="1205"/>
      <c r="C440" s="1216"/>
      <c r="D440" s="558"/>
      <c r="E440" s="1208"/>
      <c r="F440" s="1202"/>
      <c r="G440" s="1208"/>
      <c r="H440" s="1210"/>
      <c r="I440" s="1208"/>
      <c r="J440" s="1208"/>
      <c r="K440" s="1208"/>
      <c r="L440" s="1208"/>
      <c r="M440" s="547" t="s">
        <v>745</v>
      </c>
      <c r="N440" s="549"/>
      <c r="O440" s="551">
        <v>0</v>
      </c>
      <c r="P440" s="551">
        <v>0</v>
      </c>
      <c r="Q440" s="552">
        <v>0</v>
      </c>
      <c r="R440" s="48"/>
      <c r="S440" s="48"/>
      <c r="T440" s="48"/>
      <c r="U440" s="48"/>
      <c r="V440" s="48"/>
    </row>
    <row r="441" spans="2:22" ht="27.75" customHeight="1" thickBot="1" x14ac:dyDescent="0.3">
      <c r="B441" s="1206" t="s">
        <v>172</v>
      </c>
      <c r="C441" s="1215" t="s">
        <v>593</v>
      </c>
      <c r="D441" s="682" t="s">
        <v>116</v>
      </c>
      <c r="E441" s="1207" t="s">
        <v>116</v>
      </c>
      <c r="F441" s="1200" t="s">
        <v>237</v>
      </c>
      <c r="G441" s="1207" t="s">
        <v>116</v>
      </c>
      <c r="H441" s="1207" t="s">
        <v>116</v>
      </c>
      <c r="I441" s="1207" t="s">
        <v>116</v>
      </c>
      <c r="J441" s="1206" t="s">
        <v>462</v>
      </c>
      <c r="K441" s="1207" t="s">
        <v>116</v>
      </c>
      <c r="L441" s="1207" t="s">
        <v>116</v>
      </c>
      <c r="M441" s="542" t="s">
        <v>122</v>
      </c>
      <c r="N441" s="543"/>
      <c r="O441" s="544">
        <f t="shared" ref="O441:Q444" si="9">O445</f>
        <v>9411.344720000001</v>
      </c>
      <c r="P441" s="544">
        <f t="shared" si="9"/>
        <v>0</v>
      </c>
      <c r="Q441" s="675">
        <f t="shared" si="9"/>
        <v>4340.7870000000003</v>
      </c>
      <c r="R441" s="48"/>
      <c r="S441" s="48"/>
      <c r="T441" s="48"/>
      <c r="U441" s="48"/>
      <c r="V441" s="48"/>
    </row>
    <row r="442" spans="2:22" ht="25.5" customHeight="1" thickBot="1" x14ac:dyDescent="0.3">
      <c r="B442" s="1204"/>
      <c r="C442" s="1192"/>
      <c r="D442" s="682"/>
      <c r="E442" s="1199"/>
      <c r="F442" s="1201"/>
      <c r="G442" s="1199"/>
      <c r="H442" s="1199"/>
      <c r="I442" s="1199"/>
      <c r="J442" s="1204"/>
      <c r="K442" s="1199"/>
      <c r="L442" s="1199"/>
      <c r="M442" s="636" t="s">
        <v>123</v>
      </c>
      <c r="N442" s="549"/>
      <c r="O442" s="544">
        <f t="shared" si="9"/>
        <v>0</v>
      </c>
      <c r="P442" s="544">
        <f t="shared" si="9"/>
        <v>0</v>
      </c>
      <c r="Q442" s="675">
        <f t="shared" si="9"/>
        <v>0</v>
      </c>
      <c r="R442" s="48"/>
      <c r="S442" s="48"/>
      <c r="T442" s="48"/>
      <c r="U442" s="48"/>
      <c r="V442" s="48"/>
    </row>
    <row r="443" spans="2:22" ht="24" customHeight="1" thickBot="1" x14ac:dyDescent="0.3">
      <c r="B443" s="1204"/>
      <c r="C443" s="1192"/>
      <c r="D443" s="682"/>
      <c r="E443" s="1199"/>
      <c r="F443" s="1201"/>
      <c r="G443" s="1199"/>
      <c r="H443" s="1199"/>
      <c r="I443" s="1199"/>
      <c r="J443" s="1204"/>
      <c r="K443" s="1199"/>
      <c r="L443" s="1199"/>
      <c r="M443" s="672" t="s">
        <v>124</v>
      </c>
      <c r="N443" s="550"/>
      <c r="O443" s="544">
        <f t="shared" si="9"/>
        <v>6535.7370000000001</v>
      </c>
      <c r="P443" s="544">
        <f t="shared" si="9"/>
        <v>0</v>
      </c>
      <c r="Q443" s="675">
        <f t="shared" si="9"/>
        <v>4340.7870000000003</v>
      </c>
      <c r="R443" s="48"/>
      <c r="S443" s="48"/>
      <c r="T443" s="48"/>
      <c r="U443" s="48"/>
      <c r="V443" s="48"/>
    </row>
    <row r="444" spans="2:22" ht="22.5" customHeight="1" thickBot="1" x14ac:dyDescent="0.3">
      <c r="B444" s="1241"/>
      <c r="C444" s="1239"/>
      <c r="D444" s="682"/>
      <c r="E444" s="1237"/>
      <c r="F444" s="1235"/>
      <c r="G444" s="1237"/>
      <c r="H444" s="1237"/>
      <c r="I444" s="1237"/>
      <c r="J444" s="1241"/>
      <c r="K444" s="1208"/>
      <c r="L444" s="1208"/>
      <c r="M444" s="671" t="s">
        <v>745</v>
      </c>
      <c r="N444" s="543"/>
      <c r="O444" s="544">
        <f t="shared" si="9"/>
        <v>2875.60772</v>
      </c>
      <c r="P444" s="544">
        <f t="shared" si="9"/>
        <v>0</v>
      </c>
      <c r="Q444" s="675">
        <f t="shared" si="9"/>
        <v>0</v>
      </c>
      <c r="R444" s="48"/>
      <c r="S444" s="48"/>
      <c r="T444" s="48"/>
      <c r="U444" s="48"/>
      <c r="V444" s="48"/>
    </row>
    <row r="445" spans="2:22" ht="33.75" customHeight="1" thickBot="1" x14ac:dyDescent="0.3">
      <c r="B445" s="1240" t="s">
        <v>172</v>
      </c>
      <c r="C445" s="1238" t="s">
        <v>593</v>
      </c>
      <c r="D445" s="555">
        <v>27302165</v>
      </c>
      <c r="E445" s="1236" t="s">
        <v>422</v>
      </c>
      <c r="F445" s="1234" t="s">
        <v>626</v>
      </c>
      <c r="G445" s="1234" t="s">
        <v>435</v>
      </c>
      <c r="H445" s="1236" t="s">
        <v>240</v>
      </c>
      <c r="I445" s="1236">
        <v>1</v>
      </c>
      <c r="J445" s="1206" t="s">
        <v>462</v>
      </c>
      <c r="K445" s="1236" t="s">
        <v>199</v>
      </c>
      <c r="L445" s="1236" t="s">
        <v>199</v>
      </c>
      <c r="M445" s="542" t="s">
        <v>122</v>
      </c>
      <c r="N445" s="543"/>
      <c r="O445" s="544">
        <f>O446+O447+O448</f>
        <v>9411.344720000001</v>
      </c>
      <c r="P445" s="544">
        <f>P446+P447+P448</f>
        <v>0</v>
      </c>
      <c r="Q445" s="675">
        <f>Q446+Q447+Q448</f>
        <v>4340.7870000000003</v>
      </c>
      <c r="R445" s="48"/>
      <c r="S445" s="48"/>
      <c r="T445" s="48"/>
      <c r="U445" s="48"/>
      <c r="V445" s="48"/>
    </row>
    <row r="446" spans="2:22" ht="25.5" customHeight="1" thickBot="1" x14ac:dyDescent="0.3">
      <c r="B446" s="1204"/>
      <c r="C446" s="1192"/>
      <c r="D446" s="555"/>
      <c r="E446" s="1199"/>
      <c r="F446" s="1201"/>
      <c r="G446" s="1201"/>
      <c r="H446" s="1199"/>
      <c r="I446" s="1199"/>
      <c r="J446" s="1204"/>
      <c r="K446" s="1199"/>
      <c r="L446" s="1199"/>
      <c r="M446" s="636" t="s">
        <v>123</v>
      </c>
      <c r="N446" s="549"/>
      <c r="O446" s="544">
        <v>0</v>
      </c>
      <c r="P446" s="544">
        <v>0</v>
      </c>
      <c r="Q446" s="675">
        <v>0</v>
      </c>
      <c r="R446" s="48"/>
      <c r="S446" s="48"/>
      <c r="T446" s="48"/>
      <c r="U446" s="48"/>
      <c r="V446" s="48"/>
    </row>
    <row r="447" spans="2:22" ht="30" customHeight="1" thickBot="1" x14ac:dyDescent="0.3">
      <c r="B447" s="1204"/>
      <c r="C447" s="1192"/>
      <c r="D447" s="555"/>
      <c r="E447" s="1199"/>
      <c r="F447" s="1201"/>
      <c r="G447" s="1201"/>
      <c r="H447" s="1199"/>
      <c r="I447" s="1199"/>
      <c r="J447" s="1204"/>
      <c r="K447" s="1199"/>
      <c r="L447" s="1199"/>
      <c r="M447" s="672" t="s">
        <v>124</v>
      </c>
      <c r="N447" s="550"/>
      <c r="O447" s="544">
        <v>6535.7370000000001</v>
      </c>
      <c r="P447" s="544">
        <v>0</v>
      </c>
      <c r="Q447" s="675">
        <v>4340.7870000000003</v>
      </c>
      <c r="R447" s="48"/>
      <c r="S447" s="48"/>
      <c r="T447" s="48"/>
      <c r="U447" s="48"/>
      <c r="V447" s="48"/>
    </row>
    <row r="448" spans="2:22" ht="28.5" customHeight="1" thickBot="1" x14ac:dyDescent="0.3">
      <c r="B448" s="1241"/>
      <c r="C448" s="1239"/>
      <c r="D448" s="555"/>
      <c r="E448" s="1237"/>
      <c r="F448" s="1235"/>
      <c r="G448" s="1235"/>
      <c r="H448" s="1237"/>
      <c r="I448" s="1237"/>
      <c r="J448" s="1241"/>
      <c r="K448" s="1237"/>
      <c r="L448" s="1237"/>
      <c r="M448" s="547" t="s">
        <v>745</v>
      </c>
      <c r="N448" s="549"/>
      <c r="O448" s="551">
        <v>2875.60772</v>
      </c>
      <c r="P448" s="551">
        <v>0</v>
      </c>
      <c r="Q448" s="552">
        <v>0</v>
      </c>
      <c r="R448" s="48"/>
      <c r="S448" s="48"/>
      <c r="T448" s="48"/>
      <c r="U448" s="48"/>
      <c r="V448" s="48"/>
    </row>
    <row r="449" spans="2:22" ht="21.75" customHeight="1" thickBot="1" x14ac:dyDescent="0.3">
      <c r="B449" s="1240" t="s">
        <v>172</v>
      </c>
      <c r="C449" s="1238" t="s">
        <v>592</v>
      </c>
      <c r="D449" s="609" t="s">
        <v>116</v>
      </c>
      <c r="E449" s="1236" t="s">
        <v>116</v>
      </c>
      <c r="F449" s="1234" t="s">
        <v>591</v>
      </c>
      <c r="G449" s="1234" t="s">
        <v>465</v>
      </c>
      <c r="H449" s="1236" t="s">
        <v>240</v>
      </c>
      <c r="I449" s="1236">
        <v>1</v>
      </c>
      <c r="J449" s="1240" t="s">
        <v>528</v>
      </c>
      <c r="K449" s="1236" t="s">
        <v>199</v>
      </c>
      <c r="L449" s="1236">
        <v>1</v>
      </c>
      <c r="M449" s="542" t="s">
        <v>122</v>
      </c>
      <c r="N449" s="543"/>
      <c r="O449" s="544">
        <f t="shared" ref="O449:Q452" si="10">O453</f>
        <v>4665.66</v>
      </c>
      <c r="P449" s="544">
        <f t="shared" si="10"/>
        <v>2609.4</v>
      </c>
      <c r="Q449" s="675">
        <f t="shared" si="10"/>
        <v>0</v>
      </c>
      <c r="R449" s="48"/>
      <c r="S449" s="48"/>
      <c r="T449" s="48"/>
      <c r="U449" s="48"/>
      <c r="V449" s="48"/>
    </row>
    <row r="450" spans="2:22" ht="22.5" customHeight="1" thickBot="1" x14ac:dyDescent="0.3">
      <c r="B450" s="1204"/>
      <c r="C450" s="1192"/>
      <c r="D450" s="555"/>
      <c r="E450" s="1199"/>
      <c r="F450" s="1201"/>
      <c r="G450" s="1201"/>
      <c r="H450" s="1199"/>
      <c r="I450" s="1199"/>
      <c r="J450" s="1204"/>
      <c r="K450" s="1199"/>
      <c r="L450" s="1199"/>
      <c r="M450" s="636" t="s">
        <v>123</v>
      </c>
      <c r="N450" s="549"/>
      <c r="O450" s="544">
        <f t="shared" si="10"/>
        <v>0</v>
      </c>
      <c r="P450" s="544">
        <f t="shared" si="10"/>
        <v>0</v>
      </c>
      <c r="Q450" s="675">
        <f t="shared" si="10"/>
        <v>0</v>
      </c>
      <c r="R450" s="48"/>
      <c r="S450" s="48"/>
      <c r="T450" s="48"/>
      <c r="U450" s="48"/>
      <c r="V450" s="48"/>
    </row>
    <row r="451" spans="2:22" ht="23.25" customHeight="1" thickBot="1" x14ac:dyDescent="0.3">
      <c r="B451" s="1204"/>
      <c r="C451" s="1192"/>
      <c r="D451" s="555"/>
      <c r="E451" s="1199"/>
      <c r="F451" s="1201"/>
      <c r="G451" s="1201"/>
      <c r="H451" s="1199"/>
      <c r="I451" s="1199"/>
      <c r="J451" s="1204"/>
      <c r="K451" s="1199"/>
      <c r="L451" s="1199"/>
      <c r="M451" s="672" t="s">
        <v>124</v>
      </c>
      <c r="N451" s="550"/>
      <c r="O451" s="544">
        <f t="shared" si="10"/>
        <v>4665.66</v>
      </c>
      <c r="P451" s="544">
        <f t="shared" si="10"/>
        <v>2609.4</v>
      </c>
      <c r="Q451" s="675">
        <f t="shared" si="10"/>
        <v>0</v>
      </c>
      <c r="R451" s="48"/>
      <c r="S451" s="48"/>
      <c r="T451" s="48"/>
      <c r="U451" s="48"/>
      <c r="V451" s="48"/>
    </row>
    <row r="452" spans="2:22" ht="22.5" customHeight="1" thickBot="1" x14ac:dyDescent="0.3">
      <c r="B452" s="1204"/>
      <c r="C452" s="1192"/>
      <c r="D452" s="680"/>
      <c r="E452" s="1199"/>
      <c r="F452" s="1201"/>
      <c r="G452" s="1201"/>
      <c r="H452" s="1199"/>
      <c r="I452" s="1199"/>
      <c r="J452" s="1204"/>
      <c r="K452" s="1199"/>
      <c r="L452" s="1199"/>
      <c r="M452" s="671" t="s">
        <v>745</v>
      </c>
      <c r="N452" s="543"/>
      <c r="O452" s="544">
        <f t="shared" si="10"/>
        <v>0</v>
      </c>
      <c r="P452" s="544">
        <f t="shared" si="10"/>
        <v>0</v>
      </c>
      <c r="Q452" s="675">
        <f t="shared" si="10"/>
        <v>0</v>
      </c>
      <c r="R452" s="48"/>
      <c r="S452" s="48"/>
      <c r="T452" s="48"/>
      <c r="U452" s="48"/>
      <c r="V452" s="48"/>
    </row>
    <row r="453" spans="2:22" ht="36" customHeight="1" thickBot="1" x14ac:dyDescent="0.3">
      <c r="B453" s="1206" t="s">
        <v>172</v>
      </c>
      <c r="C453" s="1215" t="s">
        <v>592</v>
      </c>
      <c r="D453" s="654">
        <v>27302142</v>
      </c>
      <c r="E453" s="1207" t="s">
        <v>88</v>
      </c>
      <c r="F453" s="1200" t="s">
        <v>467</v>
      </c>
      <c r="G453" s="1200" t="s">
        <v>465</v>
      </c>
      <c r="H453" s="1207" t="s">
        <v>240</v>
      </c>
      <c r="I453" s="1207">
        <v>1</v>
      </c>
      <c r="J453" s="1206" t="s">
        <v>865</v>
      </c>
      <c r="K453" s="1207" t="s">
        <v>199</v>
      </c>
      <c r="L453" s="1207">
        <v>1</v>
      </c>
      <c r="M453" s="542" t="s">
        <v>122</v>
      </c>
      <c r="N453" s="543"/>
      <c r="O453" s="544">
        <f>O454+O455+O456</f>
        <v>4665.66</v>
      </c>
      <c r="P453" s="544">
        <f>P454+P455+P456</f>
        <v>2609.4</v>
      </c>
      <c r="Q453" s="675">
        <f>Q454+Q455+Q456</f>
        <v>0</v>
      </c>
      <c r="R453" s="48"/>
      <c r="S453" s="48"/>
      <c r="T453" s="48"/>
      <c r="U453" s="48"/>
      <c r="V453" s="48"/>
    </row>
    <row r="454" spans="2:22" ht="16.5" thickBot="1" x14ac:dyDescent="0.3">
      <c r="B454" s="1204"/>
      <c r="C454" s="1192"/>
      <c r="D454" s="555"/>
      <c r="E454" s="1199"/>
      <c r="F454" s="1201"/>
      <c r="G454" s="1201"/>
      <c r="H454" s="1199"/>
      <c r="I454" s="1199"/>
      <c r="J454" s="1204"/>
      <c r="K454" s="1199"/>
      <c r="L454" s="1199"/>
      <c r="M454" s="636" t="s">
        <v>123</v>
      </c>
      <c r="N454" s="549"/>
      <c r="O454" s="544">
        <v>0</v>
      </c>
      <c r="P454" s="544">
        <v>0</v>
      </c>
      <c r="Q454" s="675">
        <v>0</v>
      </c>
      <c r="R454" s="48"/>
      <c r="S454" s="48"/>
      <c r="T454" s="48"/>
      <c r="U454" s="48"/>
      <c r="V454" s="48"/>
    </row>
    <row r="455" spans="2:22" ht="16.5" thickBot="1" x14ac:dyDescent="0.3">
      <c r="B455" s="1204"/>
      <c r="C455" s="1192"/>
      <c r="D455" s="555"/>
      <c r="E455" s="1199"/>
      <c r="F455" s="1201"/>
      <c r="G455" s="1201"/>
      <c r="H455" s="1199"/>
      <c r="I455" s="1199"/>
      <c r="J455" s="1204"/>
      <c r="K455" s="1199"/>
      <c r="L455" s="1199"/>
      <c r="M455" s="672" t="s">
        <v>124</v>
      </c>
      <c r="N455" s="550"/>
      <c r="O455" s="544">
        <v>4665.66</v>
      </c>
      <c r="P455" s="544">
        <v>2609.4</v>
      </c>
      <c r="Q455" s="675">
        <v>0</v>
      </c>
      <c r="R455" s="48">
        <v>2768.32</v>
      </c>
      <c r="S455" s="48"/>
      <c r="T455" s="48"/>
      <c r="U455" s="48"/>
      <c r="V455" s="48"/>
    </row>
    <row r="456" spans="2:22" ht="16.5" thickBot="1" x14ac:dyDescent="0.3">
      <c r="B456" s="1205"/>
      <c r="C456" s="1216"/>
      <c r="D456" s="558"/>
      <c r="E456" s="1208"/>
      <c r="F456" s="1202"/>
      <c r="G456" s="1202"/>
      <c r="H456" s="1208"/>
      <c r="I456" s="1208"/>
      <c r="J456" s="1205"/>
      <c r="K456" s="1208"/>
      <c r="L456" s="1208"/>
      <c r="M456" s="547" t="s">
        <v>745</v>
      </c>
      <c r="N456" s="549"/>
      <c r="O456" s="551">
        <v>0</v>
      </c>
      <c r="P456" s="551">
        <v>0</v>
      </c>
      <c r="Q456" s="552">
        <v>0</v>
      </c>
      <c r="R456" s="48"/>
      <c r="S456" s="48"/>
      <c r="T456" s="48"/>
      <c r="U456" s="48"/>
      <c r="V456" s="48"/>
    </row>
    <row r="457" spans="2:22" ht="27" customHeight="1" thickBot="1" x14ac:dyDescent="0.3">
      <c r="B457" s="1206" t="s">
        <v>172</v>
      </c>
      <c r="C457" s="1207" t="s">
        <v>291</v>
      </c>
      <c r="D457" s="654" t="s">
        <v>116</v>
      </c>
      <c r="E457" s="1207" t="s">
        <v>116</v>
      </c>
      <c r="F457" s="1200" t="s">
        <v>77</v>
      </c>
      <c r="G457" s="1207" t="s">
        <v>116</v>
      </c>
      <c r="H457" s="1207" t="s">
        <v>116</v>
      </c>
      <c r="I457" s="1207" t="s">
        <v>116</v>
      </c>
      <c r="J457" s="1206" t="s">
        <v>462</v>
      </c>
      <c r="K457" s="1207" t="s">
        <v>116</v>
      </c>
      <c r="L457" s="1207" t="s">
        <v>116</v>
      </c>
      <c r="M457" s="542" t="s">
        <v>122</v>
      </c>
      <c r="N457" s="543"/>
      <c r="O457" s="544">
        <f>O458+O459</f>
        <v>37333.943999999996</v>
      </c>
      <c r="P457" s="544">
        <f>P461+P465+P469+P473+P477+P481+P489+P493+P497+P501+P509+P513+P517+P521+P525+P529+P533+P537+P541+P545+P549</f>
        <v>10212</v>
      </c>
      <c r="Q457" s="675">
        <f>Q461+Q465+Q469+Q473+Q477+Q481+Q489+Q493+Q497+Q501+Q509+Q513+Q517+Q521+Q525+Q529+Q533+Q537+Q541+Q545+Q549</f>
        <v>3450</v>
      </c>
      <c r="R457" s="48">
        <v>37333.94</v>
      </c>
      <c r="S457" s="48"/>
      <c r="T457" s="48"/>
      <c r="U457" s="48"/>
      <c r="V457" s="48"/>
    </row>
    <row r="458" spans="2:22" ht="19.5" customHeight="1" thickBot="1" x14ac:dyDescent="0.3">
      <c r="B458" s="1204"/>
      <c r="C458" s="1199"/>
      <c r="D458" s="555"/>
      <c r="E458" s="1199"/>
      <c r="F458" s="1201"/>
      <c r="G458" s="1199"/>
      <c r="H458" s="1199"/>
      <c r="I458" s="1199"/>
      <c r="J458" s="1204"/>
      <c r="K458" s="1199"/>
      <c r="L458" s="1199"/>
      <c r="M458" s="636" t="s">
        <v>123</v>
      </c>
      <c r="N458" s="549"/>
      <c r="O458" s="544">
        <f>O462+O466+O470+O474+O478+O482+O490+O494+O498+O502+O510+O514+O518+O522+O526+O530+O534+O538+O542+O546+O550+O486</f>
        <v>21234.28</v>
      </c>
      <c r="P458" s="544">
        <f t="shared" ref="P458:Q460" si="11">P462+P466+P470+P474+P478+P482+P490+P494+P498+P502+P510+P514+P518+P522+P526+P530+P534+P538+P542+P546+P550</f>
        <v>0</v>
      </c>
      <c r="Q458" s="675">
        <f t="shared" si="11"/>
        <v>0</v>
      </c>
      <c r="R458" s="707">
        <f>R457-O457</f>
        <v>-3.9999999935389496E-3</v>
      </c>
      <c r="S458" s="48"/>
      <c r="T458" s="48"/>
      <c r="U458" s="48"/>
      <c r="V458" s="48"/>
    </row>
    <row r="459" spans="2:22" ht="19.5" customHeight="1" thickBot="1" x14ac:dyDescent="0.3">
      <c r="B459" s="1204"/>
      <c r="C459" s="1199"/>
      <c r="D459" s="555"/>
      <c r="E459" s="1199"/>
      <c r="F459" s="1201"/>
      <c r="G459" s="1199"/>
      <c r="H459" s="1199"/>
      <c r="I459" s="1199"/>
      <c r="J459" s="1204"/>
      <c r="K459" s="1199"/>
      <c r="L459" s="1199"/>
      <c r="M459" s="672" t="s">
        <v>124</v>
      </c>
      <c r="N459" s="550"/>
      <c r="O459" s="544">
        <f>O463+O467+O471+O475+O479+O483+O491+O495+O499+O503+O511+O515+O519+O523+O527+O531+O535+O539+O543+O547+O551+O487+O507</f>
        <v>16099.663999999999</v>
      </c>
      <c r="P459" s="544">
        <f t="shared" si="11"/>
        <v>10212</v>
      </c>
      <c r="Q459" s="675">
        <f t="shared" si="11"/>
        <v>3450</v>
      </c>
      <c r="R459" s="48">
        <v>16099.66</v>
      </c>
      <c r="S459" s="48"/>
      <c r="T459" s="48"/>
      <c r="U459" s="48"/>
      <c r="V459" s="48"/>
    </row>
    <row r="460" spans="2:22" ht="18" customHeight="1" thickBot="1" x14ac:dyDescent="0.3">
      <c r="B460" s="1205"/>
      <c r="C460" s="1208"/>
      <c r="D460" s="558"/>
      <c r="E460" s="1208"/>
      <c r="F460" s="1202"/>
      <c r="G460" s="1208"/>
      <c r="H460" s="1208"/>
      <c r="I460" s="1208"/>
      <c r="J460" s="1205"/>
      <c r="K460" s="1208"/>
      <c r="L460" s="1208"/>
      <c r="M460" s="547" t="s">
        <v>745</v>
      </c>
      <c r="N460" s="549"/>
      <c r="O460" s="551">
        <f>O464+O468+O472+O476+O480+O484+O492+O496+O500+O504+O512+O516+O520+O524+O528+O532+O536+O540+O544+O548+O552</f>
        <v>4149.0946299999996</v>
      </c>
      <c r="P460" s="551">
        <f t="shared" si="11"/>
        <v>0</v>
      </c>
      <c r="Q460" s="552">
        <f t="shared" si="11"/>
        <v>0</v>
      </c>
      <c r="R460" s="707">
        <f>R459-O459</f>
        <v>-3.9999999989959178E-3</v>
      </c>
      <c r="S460" s="707"/>
      <c r="T460" s="707"/>
      <c r="U460" s="48"/>
      <c r="V460" s="48"/>
    </row>
    <row r="461" spans="2:22" ht="24" customHeight="1" thickBot="1" x14ac:dyDescent="0.3">
      <c r="B461" s="1204" t="s">
        <v>172</v>
      </c>
      <c r="C461" s="1192" t="s">
        <v>291</v>
      </c>
      <c r="D461" s="682" t="s">
        <v>450</v>
      </c>
      <c r="E461" s="1199" t="s">
        <v>449</v>
      </c>
      <c r="F461" s="1201" t="s">
        <v>643</v>
      </c>
      <c r="G461" s="1201" t="s">
        <v>642</v>
      </c>
      <c r="H461" s="1199" t="s">
        <v>240</v>
      </c>
      <c r="I461" s="1199">
        <v>1</v>
      </c>
      <c r="J461" s="1204" t="s">
        <v>462</v>
      </c>
      <c r="K461" s="1199" t="s">
        <v>199</v>
      </c>
      <c r="L461" s="1199" t="s">
        <v>199</v>
      </c>
      <c r="M461" s="672" t="s">
        <v>122</v>
      </c>
      <c r="N461" s="550"/>
      <c r="O461" s="561">
        <f>O462+O463</f>
        <v>0</v>
      </c>
      <c r="P461" s="561">
        <f>P462+P463</f>
        <v>0</v>
      </c>
      <c r="Q461" s="562">
        <f>Q462+Q463</f>
        <v>0</v>
      </c>
      <c r="R461" s="48"/>
      <c r="S461" s="48"/>
      <c r="T461" s="48"/>
      <c r="U461" s="48"/>
      <c r="V461" s="48"/>
    </row>
    <row r="462" spans="2:22" ht="20.25" customHeight="1" thickBot="1" x14ac:dyDescent="0.3">
      <c r="B462" s="1204"/>
      <c r="C462" s="1192"/>
      <c r="D462" s="555"/>
      <c r="E462" s="1199"/>
      <c r="F462" s="1201"/>
      <c r="G462" s="1201"/>
      <c r="H462" s="1199"/>
      <c r="I462" s="1199"/>
      <c r="J462" s="1204"/>
      <c r="K462" s="1199"/>
      <c r="L462" s="1199"/>
      <c r="M462" s="636" t="s">
        <v>123</v>
      </c>
      <c r="N462" s="549"/>
      <c r="O462" s="544">
        <v>0</v>
      </c>
      <c r="P462" s="544">
        <v>0</v>
      </c>
      <c r="Q462" s="675">
        <v>0</v>
      </c>
      <c r="R462" s="48"/>
      <c r="S462" s="48"/>
      <c r="T462" s="48"/>
      <c r="U462" s="48"/>
      <c r="V462" s="48"/>
    </row>
    <row r="463" spans="2:22" ht="24" customHeight="1" thickBot="1" x14ac:dyDescent="0.3">
      <c r="B463" s="1204"/>
      <c r="C463" s="1192"/>
      <c r="D463" s="555"/>
      <c r="E463" s="1199"/>
      <c r="F463" s="1201"/>
      <c r="G463" s="1201"/>
      <c r="H463" s="1199"/>
      <c r="I463" s="1199"/>
      <c r="J463" s="1204"/>
      <c r="K463" s="1199"/>
      <c r="L463" s="1199"/>
      <c r="M463" s="672" t="s">
        <v>124</v>
      </c>
      <c r="N463" s="550"/>
      <c r="O463" s="544">
        <v>0</v>
      </c>
      <c r="P463" s="544">
        <v>0</v>
      </c>
      <c r="Q463" s="675">
        <v>0</v>
      </c>
      <c r="R463" s="48"/>
      <c r="S463" s="48"/>
      <c r="T463" s="48"/>
      <c r="U463" s="48"/>
      <c r="V463" s="48"/>
    </row>
    <row r="464" spans="2:22" ht="18" customHeight="1" thickBot="1" x14ac:dyDescent="0.3">
      <c r="B464" s="1204"/>
      <c r="C464" s="1192"/>
      <c r="D464" s="680"/>
      <c r="E464" s="1199"/>
      <c r="F464" s="1201"/>
      <c r="G464" s="1201"/>
      <c r="H464" s="1199"/>
      <c r="I464" s="1199"/>
      <c r="J464" s="1204"/>
      <c r="K464" s="1199"/>
      <c r="L464" s="1199"/>
      <c r="M464" s="671" t="s">
        <v>745</v>
      </c>
      <c r="N464" s="543"/>
      <c r="O464" s="544">
        <v>34.468000000000004</v>
      </c>
      <c r="P464" s="544">
        <v>0</v>
      </c>
      <c r="Q464" s="675">
        <v>0</v>
      </c>
      <c r="R464" s="48"/>
      <c r="S464" s="48"/>
      <c r="T464" s="48"/>
      <c r="U464" s="48"/>
      <c r="V464" s="48"/>
    </row>
    <row r="465" spans="2:22" ht="24" customHeight="1" thickBot="1" x14ac:dyDescent="0.3">
      <c r="B465" s="1206" t="s">
        <v>172</v>
      </c>
      <c r="C465" s="1215" t="s">
        <v>291</v>
      </c>
      <c r="D465" s="654">
        <v>27302143</v>
      </c>
      <c r="E465" s="1207" t="s">
        <v>405</v>
      </c>
      <c r="F465" s="1200" t="s">
        <v>827</v>
      </c>
      <c r="G465" s="1200" t="s">
        <v>826</v>
      </c>
      <c r="H465" s="1207" t="s">
        <v>240</v>
      </c>
      <c r="I465" s="1207">
        <v>1</v>
      </c>
      <c r="J465" s="1206" t="s">
        <v>462</v>
      </c>
      <c r="K465" s="1207" t="s">
        <v>199</v>
      </c>
      <c r="L465" s="1207" t="s">
        <v>199</v>
      </c>
      <c r="M465" s="542" t="s">
        <v>122</v>
      </c>
      <c r="N465" s="543"/>
      <c r="O465" s="544">
        <f>O466+O467+O468</f>
        <v>400</v>
      </c>
      <c r="P465" s="544">
        <f>P466+P467+P468</f>
        <v>0</v>
      </c>
      <c r="Q465" s="675">
        <f>Q466+Q467+Q468</f>
        <v>0</v>
      </c>
      <c r="R465" s="48"/>
      <c r="S465" s="48"/>
      <c r="T465" s="48"/>
      <c r="U465" s="48"/>
      <c r="V465" s="48"/>
    </row>
    <row r="466" spans="2:22" ht="21" customHeight="1" thickBot="1" x14ac:dyDescent="0.3">
      <c r="B466" s="1204"/>
      <c r="C466" s="1192"/>
      <c r="D466" s="555"/>
      <c r="E466" s="1199"/>
      <c r="F466" s="1201"/>
      <c r="G466" s="1201"/>
      <c r="H466" s="1199"/>
      <c r="I466" s="1199"/>
      <c r="J466" s="1204"/>
      <c r="K466" s="1199"/>
      <c r="L466" s="1199"/>
      <c r="M466" s="636" t="s">
        <v>123</v>
      </c>
      <c r="N466" s="549"/>
      <c r="O466" s="544">
        <v>0</v>
      </c>
      <c r="P466" s="544">
        <v>0</v>
      </c>
      <c r="Q466" s="675">
        <v>0</v>
      </c>
      <c r="R466" s="48"/>
      <c r="S466" s="48"/>
      <c r="T466" s="48"/>
      <c r="U466" s="48"/>
      <c r="V466" s="48"/>
    </row>
    <row r="467" spans="2:22" ht="21" customHeight="1" thickBot="1" x14ac:dyDescent="0.3">
      <c r="B467" s="1204"/>
      <c r="C467" s="1192"/>
      <c r="D467" s="555"/>
      <c r="E467" s="1199"/>
      <c r="F467" s="1201"/>
      <c r="G467" s="1201"/>
      <c r="H467" s="1199"/>
      <c r="I467" s="1199"/>
      <c r="J467" s="1204"/>
      <c r="K467" s="1199"/>
      <c r="L467" s="1199"/>
      <c r="M467" s="672" t="s">
        <v>124</v>
      </c>
      <c r="N467" s="550"/>
      <c r="O467" s="544">
        <f>600-200</f>
        <v>400</v>
      </c>
      <c r="P467" s="544">
        <v>0</v>
      </c>
      <c r="Q467" s="675">
        <v>0</v>
      </c>
      <c r="R467" s="48"/>
      <c r="S467" s="48"/>
      <c r="T467" s="48"/>
      <c r="U467" s="48"/>
      <c r="V467" s="48"/>
    </row>
    <row r="468" spans="2:22" ht="23.25" customHeight="1" thickBot="1" x14ac:dyDescent="0.3">
      <c r="B468" s="1205"/>
      <c r="C468" s="1216"/>
      <c r="D468" s="558"/>
      <c r="E468" s="1208"/>
      <c r="F468" s="1202"/>
      <c r="G468" s="1202"/>
      <c r="H468" s="1208"/>
      <c r="I468" s="1208"/>
      <c r="J468" s="1205"/>
      <c r="K468" s="1208"/>
      <c r="L468" s="1208"/>
      <c r="M468" s="547" t="s">
        <v>745</v>
      </c>
      <c r="N468" s="549"/>
      <c r="O468" s="551">
        <v>0</v>
      </c>
      <c r="P468" s="551">
        <v>0</v>
      </c>
      <c r="Q468" s="552">
        <v>0</v>
      </c>
      <c r="R468" s="48"/>
      <c r="S468" s="48"/>
      <c r="T468" s="48"/>
      <c r="U468" s="48"/>
      <c r="V468" s="48"/>
    </row>
    <row r="469" spans="2:22" ht="26.25" customHeight="1" thickBot="1" x14ac:dyDescent="0.3">
      <c r="B469" s="1204" t="s">
        <v>172</v>
      </c>
      <c r="C469" s="1192" t="s">
        <v>291</v>
      </c>
      <c r="D469" s="682" t="s">
        <v>533</v>
      </c>
      <c r="E469" s="1199" t="s">
        <v>411</v>
      </c>
      <c r="F469" s="1201" t="s">
        <v>413</v>
      </c>
      <c r="G469" s="1201" t="s">
        <v>414</v>
      </c>
      <c r="H469" s="1199" t="s">
        <v>240</v>
      </c>
      <c r="I469" s="1199">
        <v>1</v>
      </c>
      <c r="J469" s="1204" t="s">
        <v>462</v>
      </c>
      <c r="K469" s="1199" t="s">
        <v>199</v>
      </c>
      <c r="L469" s="1199" t="s">
        <v>199</v>
      </c>
      <c r="M469" s="672" t="s">
        <v>122</v>
      </c>
      <c r="N469" s="550"/>
      <c r="O469" s="561">
        <f>O470+O471</f>
        <v>0</v>
      </c>
      <c r="P469" s="561">
        <f>P470+P471</f>
        <v>0</v>
      </c>
      <c r="Q469" s="562">
        <f>Q470+Q471</f>
        <v>0</v>
      </c>
      <c r="R469" s="48"/>
      <c r="S469" s="48"/>
      <c r="T469" s="48"/>
      <c r="U469" s="48"/>
      <c r="V469" s="48"/>
    </row>
    <row r="470" spans="2:22" ht="24" customHeight="1" thickBot="1" x14ac:dyDescent="0.3">
      <c r="B470" s="1204"/>
      <c r="C470" s="1192"/>
      <c r="D470" s="555"/>
      <c r="E470" s="1199"/>
      <c r="F470" s="1201"/>
      <c r="G470" s="1201"/>
      <c r="H470" s="1199"/>
      <c r="I470" s="1199"/>
      <c r="J470" s="1204"/>
      <c r="K470" s="1199"/>
      <c r="L470" s="1199"/>
      <c r="M470" s="636" t="s">
        <v>123</v>
      </c>
      <c r="N470" s="549"/>
      <c r="O470" s="551">
        <v>0</v>
      </c>
      <c r="P470" s="551">
        <v>0</v>
      </c>
      <c r="Q470" s="552">
        <v>0</v>
      </c>
      <c r="R470" s="48"/>
      <c r="S470" s="48"/>
      <c r="T470" s="48"/>
      <c r="U470" s="48"/>
      <c r="V470" s="48"/>
    </row>
    <row r="471" spans="2:22" ht="24.75" customHeight="1" thickBot="1" x14ac:dyDescent="0.3">
      <c r="B471" s="1204"/>
      <c r="C471" s="1192"/>
      <c r="D471" s="555"/>
      <c r="E471" s="1199"/>
      <c r="F471" s="1201"/>
      <c r="G471" s="1201"/>
      <c r="H471" s="1199"/>
      <c r="I471" s="1199"/>
      <c r="J471" s="1204"/>
      <c r="K471" s="1199"/>
      <c r="L471" s="1199"/>
      <c r="M471" s="672" t="s">
        <v>124</v>
      </c>
      <c r="N471" s="550"/>
      <c r="O471" s="544">
        <v>0</v>
      </c>
      <c r="P471" s="544">
        <v>0</v>
      </c>
      <c r="Q471" s="675">
        <v>0</v>
      </c>
      <c r="R471" s="48"/>
      <c r="S471" s="48"/>
      <c r="T471" s="48"/>
      <c r="U471" s="48"/>
      <c r="V471" s="48"/>
    </row>
    <row r="472" spans="2:22" ht="23.25" customHeight="1" thickBot="1" x14ac:dyDescent="0.3">
      <c r="B472" s="1204"/>
      <c r="C472" s="1192"/>
      <c r="D472" s="680"/>
      <c r="E472" s="1199"/>
      <c r="F472" s="1201"/>
      <c r="G472" s="1201"/>
      <c r="H472" s="1199"/>
      <c r="I472" s="1199"/>
      <c r="J472" s="1204"/>
      <c r="K472" s="1199"/>
      <c r="L472" s="1199"/>
      <c r="M472" s="671" t="s">
        <v>745</v>
      </c>
      <c r="N472" s="543"/>
      <c r="O472" s="544">
        <v>1533.58563</v>
      </c>
      <c r="P472" s="544">
        <v>0</v>
      </c>
      <c r="Q472" s="675">
        <v>0</v>
      </c>
      <c r="R472" s="48"/>
      <c r="S472" s="48"/>
      <c r="T472" s="48"/>
      <c r="U472" s="48"/>
      <c r="V472" s="48"/>
    </row>
    <row r="473" spans="2:22" ht="23.25" customHeight="1" thickBot="1" x14ac:dyDescent="0.3">
      <c r="B473" s="1206" t="s">
        <v>172</v>
      </c>
      <c r="C473" s="1215" t="s">
        <v>291</v>
      </c>
      <c r="D473" s="654" t="s">
        <v>533</v>
      </c>
      <c r="E473" s="1207" t="s">
        <v>411</v>
      </c>
      <c r="F473" s="1200" t="s">
        <v>828</v>
      </c>
      <c r="G473" s="1200" t="s">
        <v>388</v>
      </c>
      <c r="H473" s="1207" t="s">
        <v>240</v>
      </c>
      <c r="I473" s="1207">
        <v>1</v>
      </c>
      <c r="J473" s="1206" t="s">
        <v>462</v>
      </c>
      <c r="K473" s="1207" t="s">
        <v>199</v>
      </c>
      <c r="L473" s="1207" t="s">
        <v>199</v>
      </c>
      <c r="M473" s="542" t="s">
        <v>122</v>
      </c>
      <c r="N473" s="543"/>
      <c r="O473" s="544">
        <f>O474+O475</f>
        <v>0</v>
      </c>
      <c r="P473" s="544">
        <f>P474+P475</f>
        <v>0</v>
      </c>
      <c r="Q473" s="675">
        <f>Q474+Q475</f>
        <v>0</v>
      </c>
      <c r="R473" s="48"/>
      <c r="S473" s="48"/>
      <c r="T473" s="48"/>
      <c r="U473" s="48"/>
      <c r="V473" s="48"/>
    </row>
    <row r="474" spans="2:22" ht="23.25" customHeight="1" thickBot="1" x14ac:dyDescent="0.3">
      <c r="B474" s="1204"/>
      <c r="C474" s="1192"/>
      <c r="D474" s="555"/>
      <c r="E474" s="1199"/>
      <c r="F474" s="1201"/>
      <c r="G474" s="1201"/>
      <c r="H474" s="1199"/>
      <c r="I474" s="1199"/>
      <c r="J474" s="1204"/>
      <c r="K474" s="1199"/>
      <c r="L474" s="1199"/>
      <c r="M474" s="636" t="s">
        <v>123</v>
      </c>
      <c r="N474" s="549"/>
      <c r="O474" s="551">
        <v>0</v>
      </c>
      <c r="P474" s="551">
        <v>0</v>
      </c>
      <c r="Q474" s="552">
        <v>0</v>
      </c>
      <c r="R474" s="48"/>
      <c r="S474" s="48"/>
      <c r="T474" s="48"/>
      <c r="U474" s="48"/>
      <c r="V474" s="48"/>
    </row>
    <row r="475" spans="2:22" ht="23.25" customHeight="1" thickBot="1" x14ac:dyDescent="0.3">
      <c r="B475" s="1204"/>
      <c r="C475" s="1192"/>
      <c r="D475" s="555"/>
      <c r="E475" s="1199"/>
      <c r="F475" s="1201"/>
      <c r="G475" s="1201"/>
      <c r="H475" s="1199"/>
      <c r="I475" s="1199"/>
      <c r="J475" s="1204"/>
      <c r="K475" s="1199"/>
      <c r="L475" s="1199"/>
      <c r="M475" s="672" t="s">
        <v>124</v>
      </c>
      <c r="N475" s="550"/>
      <c r="O475" s="544">
        <v>0</v>
      </c>
      <c r="P475" s="544">
        <v>0</v>
      </c>
      <c r="Q475" s="675">
        <v>0</v>
      </c>
      <c r="R475" s="48"/>
      <c r="S475" s="48"/>
      <c r="T475" s="48"/>
      <c r="U475" s="48"/>
      <c r="V475" s="48"/>
    </row>
    <row r="476" spans="2:22" ht="23.25" customHeight="1" thickBot="1" x14ac:dyDescent="0.3">
      <c r="B476" s="1205"/>
      <c r="C476" s="1216"/>
      <c r="D476" s="558"/>
      <c r="E476" s="1208"/>
      <c r="F476" s="1202"/>
      <c r="G476" s="1202"/>
      <c r="H476" s="1208"/>
      <c r="I476" s="1208"/>
      <c r="J476" s="1205"/>
      <c r="K476" s="1208"/>
      <c r="L476" s="1208"/>
      <c r="M476" s="547" t="s">
        <v>745</v>
      </c>
      <c r="N476" s="549"/>
      <c r="O476" s="551">
        <v>999.75099999999998</v>
      </c>
      <c r="P476" s="551">
        <v>0</v>
      </c>
      <c r="Q476" s="552">
        <v>0</v>
      </c>
      <c r="R476" s="48"/>
      <c r="S476" s="48"/>
      <c r="T476" s="48"/>
      <c r="U476" s="48"/>
      <c r="V476" s="48"/>
    </row>
    <row r="477" spans="2:22" ht="19.5" customHeight="1" thickBot="1" x14ac:dyDescent="0.3">
      <c r="B477" s="1204" t="s">
        <v>172</v>
      </c>
      <c r="C477" s="1192" t="s">
        <v>291</v>
      </c>
      <c r="D477" s="682" t="s">
        <v>533</v>
      </c>
      <c r="E477" s="1199" t="s">
        <v>411</v>
      </c>
      <c r="F477" s="1201" t="s">
        <v>872</v>
      </c>
      <c r="G477" s="1201" t="s">
        <v>830</v>
      </c>
      <c r="H477" s="1199" t="s">
        <v>240</v>
      </c>
      <c r="I477" s="1199">
        <v>2</v>
      </c>
      <c r="J477" s="1204" t="s">
        <v>462</v>
      </c>
      <c r="K477" s="1199" t="s">
        <v>199</v>
      </c>
      <c r="L477" s="1199" t="s">
        <v>199</v>
      </c>
      <c r="M477" s="672" t="s">
        <v>122</v>
      </c>
      <c r="N477" s="550"/>
      <c r="O477" s="561">
        <f>O478+O479</f>
        <v>357.34</v>
      </c>
      <c r="P477" s="561">
        <f>P478+P479</f>
        <v>0</v>
      </c>
      <c r="Q477" s="562">
        <f>Q478+Q479</f>
        <v>0</v>
      </c>
      <c r="R477" s="48"/>
      <c r="S477" s="48"/>
      <c r="T477" s="48"/>
      <c r="U477" s="48"/>
      <c r="V477" s="48"/>
    </row>
    <row r="478" spans="2:22" ht="24" customHeight="1" thickBot="1" x14ac:dyDescent="0.3">
      <c r="B478" s="1204"/>
      <c r="C478" s="1192"/>
      <c r="D478" s="555"/>
      <c r="E478" s="1199"/>
      <c r="F478" s="1201"/>
      <c r="G478" s="1201"/>
      <c r="H478" s="1199"/>
      <c r="I478" s="1199"/>
      <c r="J478" s="1204"/>
      <c r="K478" s="1199"/>
      <c r="L478" s="1199"/>
      <c r="M478" s="636" t="s">
        <v>123</v>
      </c>
      <c r="N478" s="549"/>
      <c r="O478" s="551">
        <v>0</v>
      </c>
      <c r="P478" s="551">
        <v>0</v>
      </c>
      <c r="Q478" s="552">
        <v>0</v>
      </c>
      <c r="R478" s="48"/>
      <c r="S478" s="48"/>
      <c r="T478" s="48"/>
      <c r="U478" s="48"/>
      <c r="V478" s="48"/>
    </row>
    <row r="479" spans="2:22" ht="19.5" customHeight="1" thickBot="1" x14ac:dyDescent="0.3">
      <c r="B479" s="1204"/>
      <c r="C479" s="1192"/>
      <c r="D479" s="555"/>
      <c r="E479" s="1199"/>
      <c r="F479" s="1201"/>
      <c r="G479" s="1201"/>
      <c r="H479" s="1199"/>
      <c r="I479" s="1199"/>
      <c r="J479" s="1204"/>
      <c r="K479" s="1199"/>
      <c r="L479" s="1199"/>
      <c r="M479" s="672" t="s">
        <v>124</v>
      </c>
      <c r="N479" s="550"/>
      <c r="O479" s="544">
        <v>357.34</v>
      </c>
      <c r="P479" s="544">
        <v>0</v>
      </c>
      <c r="Q479" s="675">
        <v>0</v>
      </c>
      <c r="R479" s="48"/>
      <c r="S479" s="48"/>
      <c r="T479" s="48"/>
      <c r="U479" s="48"/>
      <c r="V479" s="48"/>
    </row>
    <row r="480" spans="2:22" ht="23.25" customHeight="1" thickBot="1" x14ac:dyDescent="0.3">
      <c r="B480" s="1204"/>
      <c r="C480" s="1192"/>
      <c r="D480" s="680"/>
      <c r="E480" s="1199"/>
      <c r="F480" s="1201"/>
      <c r="G480" s="1201"/>
      <c r="H480" s="1199"/>
      <c r="I480" s="1199"/>
      <c r="J480" s="1204"/>
      <c r="K480" s="1199"/>
      <c r="L480" s="1199"/>
      <c r="M480" s="671" t="s">
        <v>745</v>
      </c>
      <c r="N480" s="543"/>
      <c r="O480" s="544">
        <v>0</v>
      </c>
      <c r="P480" s="544">
        <v>0</v>
      </c>
      <c r="Q480" s="675">
        <v>0</v>
      </c>
      <c r="R480" s="48"/>
      <c r="S480" s="48"/>
      <c r="T480" s="48"/>
      <c r="U480" s="48"/>
      <c r="V480" s="48"/>
    </row>
    <row r="481" spans="2:22" ht="23.25" customHeight="1" thickBot="1" x14ac:dyDescent="0.3">
      <c r="B481" s="1206" t="s">
        <v>172</v>
      </c>
      <c r="C481" s="1215" t="s">
        <v>291</v>
      </c>
      <c r="D481" s="654" t="s">
        <v>533</v>
      </c>
      <c r="E481" s="1207" t="s">
        <v>411</v>
      </c>
      <c r="F481" s="1200" t="s">
        <v>881</v>
      </c>
      <c r="G481" s="1200" t="s">
        <v>640</v>
      </c>
      <c r="H481" s="1207" t="s">
        <v>240</v>
      </c>
      <c r="I481" s="1207">
        <v>1</v>
      </c>
      <c r="J481" s="1206" t="s">
        <v>462</v>
      </c>
      <c r="K481" s="1207" t="s">
        <v>199</v>
      </c>
      <c r="L481" s="1207" t="s">
        <v>199</v>
      </c>
      <c r="M481" s="542" t="s">
        <v>122</v>
      </c>
      <c r="N481" s="543"/>
      <c r="O481" s="544">
        <f>O482+O483</f>
        <v>2879.5</v>
      </c>
      <c r="P481" s="544">
        <f>P482+P483</f>
        <v>0</v>
      </c>
      <c r="Q481" s="675">
        <f>Q482+Q483</f>
        <v>0</v>
      </c>
      <c r="R481" s="48"/>
      <c r="S481" s="48"/>
      <c r="T481" s="48"/>
      <c r="U481" s="48"/>
      <c r="V481" s="48"/>
    </row>
    <row r="482" spans="2:22" ht="23.25" customHeight="1" thickBot="1" x14ac:dyDescent="0.3">
      <c r="B482" s="1204"/>
      <c r="C482" s="1192"/>
      <c r="D482" s="555"/>
      <c r="E482" s="1199"/>
      <c r="F482" s="1201"/>
      <c r="G482" s="1201"/>
      <c r="H482" s="1199"/>
      <c r="I482" s="1199"/>
      <c r="J482" s="1204"/>
      <c r="K482" s="1199"/>
      <c r="L482" s="1199"/>
      <c r="M482" s="636" t="s">
        <v>123</v>
      </c>
      <c r="N482" s="549"/>
      <c r="O482" s="551">
        <v>0</v>
      </c>
      <c r="P482" s="551">
        <v>0</v>
      </c>
      <c r="Q482" s="552">
        <v>0</v>
      </c>
      <c r="R482" s="48"/>
      <c r="S482" s="48"/>
      <c r="T482" s="48"/>
      <c r="U482" s="48"/>
      <c r="V482" s="48"/>
    </row>
    <row r="483" spans="2:22" ht="21.75" customHeight="1" thickBot="1" x14ac:dyDescent="0.3">
      <c r="B483" s="1204"/>
      <c r="C483" s="1192"/>
      <c r="D483" s="555"/>
      <c r="E483" s="1199"/>
      <c r="F483" s="1201"/>
      <c r="G483" s="1201"/>
      <c r="H483" s="1199"/>
      <c r="I483" s="1199"/>
      <c r="J483" s="1204"/>
      <c r="K483" s="1199"/>
      <c r="L483" s="1199"/>
      <c r="M483" s="672" t="s">
        <v>124</v>
      </c>
      <c r="N483" s="550"/>
      <c r="O483" s="544">
        <v>2879.5</v>
      </c>
      <c r="P483" s="544">
        <v>0</v>
      </c>
      <c r="Q483" s="675">
        <v>0</v>
      </c>
      <c r="R483" s="707">
        <f>O483+O511-70</f>
        <v>2879.5</v>
      </c>
      <c r="S483" s="48">
        <v>2766.1</v>
      </c>
      <c r="T483" s="48"/>
      <c r="U483" s="48"/>
      <c r="V483" s="48"/>
    </row>
    <row r="484" spans="2:22" ht="40.5" customHeight="1" thickBot="1" x14ac:dyDescent="0.3">
      <c r="B484" s="1205"/>
      <c r="C484" s="1216"/>
      <c r="D484" s="558"/>
      <c r="E484" s="1208"/>
      <c r="F484" s="1202"/>
      <c r="G484" s="1202"/>
      <c r="H484" s="1208"/>
      <c r="I484" s="1208"/>
      <c r="J484" s="1205"/>
      <c r="K484" s="1208"/>
      <c r="L484" s="1208"/>
      <c r="M484" s="547" t="s">
        <v>745</v>
      </c>
      <c r="N484" s="549"/>
      <c r="O484" s="551">
        <v>0</v>
      </c>
      <c r="P484" s="551">
        <v>0</v>
      </c>
      <c r="Q484" s="552">
        <v>0</v>
      </c>
      <c r="R484" s="48"/>
      <c r="S484" s="48"/>
      <c r="T484" s="48"/>
      <c r="U484" s="48"/>
      <c r="V484" s="48"/>
    </row>
    <row r="485" spans="2:22" ht="40.5" customHeight="1" thickBot="1" x14ac:dyDescent="0.3">
      <c r="B485" s="1206" t="s">
        <v>173</v>
      </c>
      <c r="C485" s="1215" t="s">
        <v>913</v>
      </c>
      <c r="D485" s="654" t="s">
        <v>914</v>
      </c>
      <c r="E485" s="1207" t="s">
        <v>411</v>
      </c>
      <c r="F485" s="1200" t="s">
        <v>915</v>
      </c>
      <c r="G485" s="1200" t="s">
        <v>916</v>
      </c>
      <c r="H485" s="1207" t="s">
        <v>240</v>
      </c>
      <c r="I485" s="1207">
        <v>1</v>
      </c>
      <c r="J485" s="1206" t="s">
        <v>462</v>
      </c>
      <c r="K485" s="1207" t="s">
        <v>199</v>
      </c>
      <c r="L485" s="1207" t="s">
        <v>199</v>
      </c>
      <c r="M485" s="542" t="s">
        <v>122</v>
      </c>
      <c r="N485" s="543"/>
      <c r="O485" s="544">
        <f>O486+O487</f>
        <v>21255.539999999997</v>
      </c>
      <c r="P485" s="544">
        <f>P486+P487</f>
        <v>0</v>
      </c>
      <c r="Q485" s="675">
        <f>Q486+Q487</f>
        <v>0</v>
      </c>
      <c r="R485" s="48"/>
      <c r="S485" s="48"/>
      <c r="T485" s="48"/>
      <c r="U485" s="48"/>
      <c r="V485" s="48"/>
    </row>
    <row r="486" spans="2:22" ht="40.5" customHeight="1" thickBot="1" x14ac:dyDescent="0.3">
      <c r="B486" s="1204"/>
      <c r="C486" s="1192"/>
      <c r="D486" s="555"/>
      <c r="E486" s="1199"/>
      <c r="F486" s="1201"/>
      <c r="G486" s="1201"/>
      <c r="H486" s="1199"/>
      <c r="I486" s="1199"/>
      <c r="J486" s="1204"/>
      <c r="K486" s="1199"/>
      <c r="L486" s="1199"/>
      <c r="M486" s="636" t="s">
        <v>123</v>
      </c>
      <c r="N486" s="549"/>
      <c r="O486" s="551">
        <v>21234.28</v>
      </c>
      <c r="P486" s="551">
        <v>0</v>
      </c>
      <c r="Q486" s="552">
        <v>0</v>
      </c>
      <c r="R486" s="48"/>
      <c r="S486" s="48"/>
      <c r="T486" s="48"/>
      <c r="U486" s="48"/>
      <c r="V486" s="48"/>
    </row>
    <row r="487" spans="2:22" ht="40.5" customHeight="1" thickBot="1" x14ac:dyDescent="0.3">
      <c r="B487" s="1204"/>
      <c r="C487" s="1192"/>
      <c r="D487" s="555"/>
      <c r="E487" s="1199"/>
      <c r="F487" s="1201"/>
      <c r="G487" s="1201"/>
      <c r="H487" s="1199"/>
      <c r="I487" s="1199"/>
      <c r="J487" s="1204"/>
      <c r="K487" s="1199"/>
      <c r="L487" s="1199"/>
      <c r="M487" s="672" t="s">
        <v>124</v>
      </c>
      <c r="N487" s="550"/>
      <c r="O487" s="544">
        <v>21.26</v>
      </c>
      <c r="P487" s="544">
        <v>0</v>
      </c>
      <c r="Q487" s="675">
        <v>0</v>
      </c>
      <c r="R487" s="48"/>
      <c r="S487" s="48"/>
      <c r="T487" s="48"/>
      <c r="U487" s="48"/>
      <c r="V487" s="48"/>
    </row>
    <row r="488" spans="2:22" ht="40.5" customHeight="1" thickBot="1" x14ac:dyDescent="0.3">
      <c r="B488" s="1205"/>
      <c r="C488" s="1216"/>
      <c r="D488" s="558"/>
      <c r="E488" s="1208"/>
      <c r="F488" s="1202"/>
      <c r="G488" s="1202"/>
      <c r="H488" s="1208"/>
      <c r="I488" s="1208"/>
      <c r="J488" s="1205"/>
      <c r="K488" s="1208"/>
      <c r="L488" s="1208"/>
      <c r="M488" s="547" t="s">
        <v>745</v>
      </c>
      <c r="N488" s="549"/>
      <c r="O488" s="551">
        <v>0</v>
      </c>
      <c r="P488" s="551">
        <v>0</v>
      </c>
      <c r="Q488" s="552">
        <v>0</v>
      </c>
      <c r="R488" s="48"/>
      <c r="S488" s="48"/>
      <c r="T488" s="48"/>
      <c r="U488" s="48"/>
      <c r="V488" s="48"/>
    </row>
    <row r="489" spans="2:22" ht="24" customHeight="1" thickBot="1" x14ac:dyDescent="0.3">
      <c r="B489" s="1204" t="s">
        <v>172</v>
      </c>
      <c r="C489" s="1192" t="s">
        <v>291</v>
      </c>
      <c r="D489" s="682">
        <v>27301829</v>
      </c>
      <c r="E489" s="1199" t="s">
        <v>419</v>
      </c>
      <c r="F489" s="1201" t="s">
        <v>886</v>
      </c>
      <c r="G489" s="1201" t="s">
        <v>190</v>
      </c>
      <c r="H489" s="1209" t="s">
        <v>240</v>
      </c>
      <c r="I489" s="1199">
        <v>1</v>
      </c>
      <c r="J489" s="1204" t="s">
        <v>462</v>
      </c>
      <c r="K489" s="1199" t="s">
        <v>199</v>
      </c>
      <c r="L489" s="1199" t="s">
        <v>199</v>
      </c>
      <c r="M489" s="672" t="s">
        <v>122</v>
      </c>
      <c r="N489" s="550"/>
      <c r="O489" s="561">
        <f>O490+O491</f>
        <v>800</v>
      </c>
      <c r="P489" s="561">
        <f>P490+P491</f>
        <v>0</v>
      </c>
      <c r="Q489" s="562">
        <f>Q490+Q491</f>
        <v>0</v>
      </c>
      <c r="R489" s="48"/>
      <c r="S489" s="48"/>
      <c r="T489" s="48"/>
      <c r="U489" s="48"/>
      <c r="V489" s="48"/>
    </row>
    <row r="490" spans="2:22" ht="24" customHeight="1" thickBot="1" x14ac:dyDescent="0.3">
      <c r="B490" s="1204"/>
      <c r="C490" s="1192"/>
      <c r="D490" s="555"/>
      <c r="E490" s="1199"/>
      <c r="F490" s="1201"/>
      <c r="G490" s="1201"/>
      <c r="H490" s="1209"/>
      <c r="I490" s="1199"/>
      <c r="J490" s="1204"/>
      <c r="K490" s="1199"/>
      <c r="L490" s="1199"/>
      <c r="M490" s="636" t="s">
        <v>123</v>
      </c>
      <c r="N490" s="549"/>
      <c r="O490" s="551">
        <v>0</v>
      </c>
      <c r="P490" s="551">
        <v>0</v>
      </c>
      <c r="Q490" s="552">
        <v>0</v>
      </c>
      <c r="R490" s="48"/>
      <c r="S490" s="48"/>
      <c r="T490" s="48"/>
      <c r="U490" s="48"/>
      <c r="V490" s="48"/>
    </row>
    <row r="491" spans="2:22" ht="26.25" customHeight="1" thickBot="1" x14ac:dyDescent="0.3">
      <c r="B491" s="1204"/>
      <c r="C491" s="1192"/>
      <c r="D491" s="555"/>
      <c r="E491" s="1199"/>
      <c r="F491" s="1201"/>
      <c r="G491" s="1201"/>
      <c r="H491" s="1209"/>
      <c r="I491" s="1199"/>
      <c r="J491" s="1204"/>
      <c r="K491" s="1199"/>
      <c r="L491" s="1199"/>
      <c r="M491" s="672" t="s">
        <v>124</v>
      </c>
      <c r="N491" s="550"/>
      <c r="O491" s="544">
        <v>800</v>
      </c>
      <c r="P491" s="544">
        <v>0</v>
      </c>
      <c r="Q491" s="675">
        <v>0</v>
      </c>
      <c r="R491" s="48"/>
      <c r="S491" s="48"/>
      <c r="T491" s="48"/>
      <c r="U491" s="48"/>
      <c r="V491" s="48"/>
    </row>
    <row r="492" spans="2:22" ht="23.25" customHeight="1" thickBot="1" x14ac:dyDescent="0.3">
      <c r="B492" s="1204"/>
      <c r="C492" s="1192"/>
      <c r="D492" s="680"/>
      <c r="E492" s="1199"/>
      <c r="F492" s="1201"/>
      <c r="G492" s="1201"/>
      <c r="H492" s="1209"/>
      <c r="I492" s="1199"/>
      <c r="J492" s="1204"/>
      <c r="K492" s="1199"/>
      <c r="L492" s="1199"/>
      <c r="M492" s="671" t="s">
        <v>745</v>
      </c>
      <c r="N492" s="543"/>
      <c r="O492" s="544">
        <v>0</v>
      </c>
      <c r="P492" s="544">
        <v>0</v>
      </c>
      <c r="Q492" s="675">
        <v>0</v>
      </c>
      <c r="R492" s="48"/>
      <c r="S492" s="48"/>
      <c r="T492" s="48"/>
      <c r="U492" s="48"/>
      <c r="V492" s="48"/>
    </row>
    <row r="493" spans="2:22" ht="30" customHeight="1" thickBot="1" x14ac:dyDescent="0.3">
      <c r="B493" s="1206" t="s">
        <v>172</v>
      </c>
      <c r="C493" s="1215" t="s">
        <v>291</v>
      </c>
      <c r="D493" s="654">
        <v>27301829</v>
      </c>
      <c r="E493" s="1207" t="s">
        <v>419</v>
      </c>
      <c r="F493" s="1200" t="s">
        <v>566</v>
      </c>
      <c r="G493" s="1200" t="s">
        <v>567</v>
      </c>
      <c r="H493" s="1207" t="s">
        <v>240</v>
      </c>
      <c r="I493" s="1207">
        <v>2</v>
      </c>
      <c r="J493" s="1206" t="s">
        <v>462</v>
      </c>
      <c r="K493" s="1207" t="s">
        <v>199</v>
      </c>
      <c r="L493" s="1207" t="s">
        <v>199</v>
      </c>
      <c r="M493" s="542" t="s">
        <v>122</v>
      </c>
      <c r="N493" s="543"/>
      <c r="O493" s="544">
        <f>O494+O495</f>
        <v>0</v>
      </c>
      <c r="P493" s="544">
        <f>P494+P495</f>
        <v>0</v>
      </c>
      <c r="Q493" s="675">
        <f>Q494+Q495</f>
        <v>0</v>
      </c>
      <c r="R493" s="48"/>
      <c r="S493" s="48"/>
      <c r="T493" s="48"/>
      <c r="U493" s="48"/>
      <c r="V493" s="48"/>
    </row>
    <row r="494" spans="2:22" ht="23.25" customHeight="1" thickBot="1" x14ac:dyDescent="0.3">
      <c r="B494" s="1204"/>
      <c r="C494" s="1192"/>
      <c r="D494" s="555"/>
      <c r="E494" s="1199"/>
      <c r="F494" s="1201"/>
      <c r="G494" s="1201"/>
      <c r="H494" s="1199"/>
      <c r="I494" s="1199"/>
      <c r="J494" s="1204"/>
      <c r="K494" s="1199"/>
      <c r="L494" s="1199"/>
      <c r="M494" s="636" t="s">
        <v>123</v>
      </c>
      <c r="N494" s="549"/>
      <c r="O494" s="551">
        <v>0</v>
      </c>
      <c r="P494" s="551">
        <v>0</v>
      </c>
      <c r="Q494" s="552">
        <v>0</v>
      </c>
      <c r="R494" s="48"/>
      <c r="S494" s="48"/>
      <c r="T494" s="48"/>
      <c r="U494" s="48"/>
      <c r="V494" s="48"/>
    </row>
    <row r="495" spans="2:22" ht="24" customHeight="1" thickBot="1" x14ac:dyDescent="0.3">
      <c r="B495" s="1204"/>
      <c r="C495" s="1192"/>
      <c r="D495" s="555"/>
      <c r="E495" s="1199"/>
      <c r="F495" s="1201"/>
      <c r="G495" s="1201"/>
      <c r="H495" s="1199"/>
      <c r="I495" s="1199"/>
      <c r="J495" s="1204"/>
      <c r="K495" s="1199"/>
      <c r="L495" s="1199"/>
      <c r="M495" s="672" t="s">
        <v>124</v>
      </c>
      <c r="N495" s="550"/>
      <c r="O495" s="544">
        <v>0</v>
      </c>
      <c r="P495" s="544">
        <v>0</v>
      </c>
      <c r="Q495" s="675">
        <v>0</v>
      </c>
      <c r="R495" s="48"/>
      <c r="S495" s="48"/>
      <c r="T495" s="48"/>
      <c r="U495" s="48"/>
      <c r="V495" s="48"/>
    </row>
    <row r="496" spans="2:22" ht="24" customHeight="1" thickBot="1" x14ac:dyDescent="0.3">
      <c r="B496" s="1205"/>
      <c r="C496" s="1216"/>
      <c r="D496" s="558"/>
      <c r="E496" s="1208"/>
      <c r="F496" s="1202"/>
      <c r="G496" s="1202"/>
      <c r="H496" s="1208"/>
      <c r="I496" s="1208"/>
      <c r="J496" s="1205"/>
      <c r="K496" s="1208"/>
      <c r="L496" s="1208"/>
      <c r="M496" s="547" t="s">
        <v>745</v>
      </c>
      <c r="N496" s="549"/>
      <c r="O496" s="551">
        <v>521.86</v>
      </c>
      <c r="P496" s="551">
        <v>0</v>
      </c>
      <c r="Q496" s="552">
        <v>0</v>
      </c>
      <c r="R496" s="48"/>
      <c r="S496" s="48"/>
      <c r="T496" s="48"/>
      <c r="U496" s="48"/>
      <c r="V496" s="48"/>
    </row>
    <row r="497" spans="2:22" ht="24" customHeight="1" thickBot="1" x14ac:dyDescent="0.3">
      <c r="B497" s="1204" t="s">
        <v>172</v>
      </c>
      <c r="C497" s="1192" t="s">
        <v>291</v>
      </c>
      <c r="D497" s="682">
        <v>27301829</v>
      </c>
      <c r="E497" s="1199" t="s">
        <v>419</v>
      </c>
      <c r="F497" s="1201" t="s">
        <v>762</v>
      </c>
      <c r="G497" s="1201" t="s">
        <v>414</v>
      </c>
      <c r="H497" s="1199" t="s">
        <v>240</v>
      </c>
      <c r="I497" s="1199">
        <v>2</v>
      </c>
      <c r="J497" s="1204" t="s">
        <v>462</v>
      </c>
      <c r="K497" s="1199" t="s">
        <v>199</v>
      </c>
      <c r="L497" s="1199" t="s">
        <v>199</v>
      </c>
      <c r="M497" s="672" t="s">
        <v>122</v>
      </c>
      <c r="N497" s="550"/>
      <c r="O497" s="561">
        <f>O498+O499</f>
        <v>0</v>
      </c>
      <c r="P497" s="561">
        <f>P498+P499</f>
        <v>0</v>
      </c>
      <c r="Q497" s="562">
        <f>Q498+Q499</f>
        <v>0</v>
      </c>
      <c r="R497" s="48"/>
      <c r="S497" s="48"/>
      <c r="T497" s="48"/>
      <c r="U497" s="48"/>
      <c r="V497" s="48"/>
    </row>
    <row r="498" spans="2:22" ht="21.75" customHeight="1" thickBot="1" x14ac:dyDescent="0.3">
      <c r="B498" s="1204"/>
      <c r="C498" s="1192"/>
      <c r="D498" s="555"/>
      <c r="E498" s="1199"/>
      <c r="F498" s="1201"/>
      <c r="G498" s="1201"/>
      <c r="H498" s="1199"/>
      <c r="I498" s="1199"/>
      <c r="J498" s="1204"/>
      <c r="K498" s="1199"/>
      <c r="L498" s="1199"/>
      <c r="M498" s="636" t="s">
        <v>123</v>
      </c>
      <c r="N498" s="549"/>
      <c r="O498" s="551">
        <v>0</v>
      </c>
      <c r="P498" s="551">
        <v>0</v>
      </c>
      <c r="Q498" s="552">
        <v>0</v>
      </c>
      <c r="R498" s="48"/>
      <c r="S498" s="48"/>
      <c r="T498" s="48"/>
      <c r="U498" s="48"/>
      <c r="V498" s="48"/>
    </row>
    <row r="499" spans="2:22" ht="20.25" customHeight="1" thickBot="1" x14ac:dyDescent="0.3">
      <c r="B499" s="1204"/>
      <c r="C499" s="1192"/>
      <c r="D499" s="555"/>
      <c r="E499" s="1199"/>
      <c r="F499" s="1201"/>
      <c r="G499" s="1201"/>
      <c r="H499" s="1199"/>
      <c r="I499" s="1199"/>
      <c r="J499" s="1204"/>
      <c r="K499" s="1199"/>
      <c r="L499" s="1199"/>
      <c r="M499" s="672" t="s">
        <v>124</v>
      </c>
      <c r="N499" s="550"/>
      <c r="O499" s="544">
        <v>0</v>
      </c>
      <c r="P499" s="544">
        <v>0</v>
      </c>
      <c r="Q499" s="675">
        <v>0</v>
      </c>
      <c r="R499" s="48"/>
      <c r="S499" s="48"/>
      <c r="T499" s="48"/>
      <c r="U499" s="48"/>
      <c r="V499" s="48"/>
    </row>
    <row r="500" spans="2:22" ht="20.25" customHeight="1" thickBot="1" x14ac:dyDescent="0.3">
      <c r="B500" s="1204"/>
      <c r="C500" s="1192"/>
      <c r="D500" s="680"/>
      <c r="E500" s="1199"/>
      <c r="F500" s="1201"/>
      <c r="G500" s="1201"/>
      <c r="H500" s="1199"/>
      <c r="I500" s="1199"/>
      <c r="J500" s="1204"/>
      <c r="K500" s="1199"/>
      <c r="L500" s="1199"/>
      <c r="M500" s="671" t="s">
        <v>745</v>
      </c>
      <c r="N500" s="543"/>
      <c r="O500" s="544">
        <v>58</v>
      </c>
      <c r="P500" s="544">
        <v>0</v>
      </c>
      <c r="Q500" s="675">
        <v>0</v>
      </c>
      <c r="R500" s="48"/>
      <c r="S500" s="48"/>
      <c r="T500" s="48"/>
      <c r="U500" s="48"/>
      <c r="V500" s="48"/>
    </row>
    <row r="501" spans="2:22" ht="23.25" customHeight="1" thickBot="1" x14ac:dyDescent="0.3">
      <c r="B501" s="1206" t="s">
        <v>172</v>
      </c>
      <c r="C501" s="1215" t="s">
        <v>291</v>
      </c>
      <c r="D501" s="654">
        <v>27301829</v>
      </c>
      <c r="E501" s="1207" t="s">
        <v>385</v>
      </c>
      <c r="F501" s="1200" t="s">
        <v>832</v>
      </c>
      <c r="G501" s="1200" t="s">
        <v>833</v>
      </c>
      <c r="H501" s="1207" t="s">
        <v>240</v>
      </c>
      <c r="I501" s="1207">
        <v>2</v>
      </c>
      <c r="J501" s="1206" t="s">
        <v>462</v>
      </c>
      <c r="K501" s="1207" t="s">
        <v>199</v>
      </c>
      <c r="L501" s="1207" t="s">
        <v>199</v>
      </c>
      <c r="M501" s="542" t="s">
        <v>122</v>
      </c>
      <c r="N501" s="543"/>
      <c r="O501" s="544">
        <f>O502+O503</f>
        <v>5000</v>
      </c>
      <c r="P501" s="544">
        <f>P502+P503</f>
        <v>0</v>
      </c>
      <c r="Q501" s="675">
        <f>Q502+Q503</f>
        <v>0</v>
      </c>
      <c r="R501" s="48"/>
      <c r="S501" s="48"/>
      <c r="T501" s="48"/>
      <c r="U501" s="48"/>
      <c r="V501" s="48"/>
    </row>
    <row r="502" spans="2:22" ht="24.75" customHeight="1" thickBot="1" x14ac:dyDescent="0.3">
      <c r="B502" s="1204"/>
      <c r="C502" s="1192"/>
      <c r="D502" s="555"/>
      <c r="E502" s="1199"/>
      <c r="F502" s="1201"/>
      <c r="G502" s="1201"/>
      <c r="H502" s="1199"/>
      <c r="I502" s="1199"/>
      <c r="J502" s="1204"/>
      <c r="K502" s="1199"/>
      <c r="L502" s="1199"/>
      <c r="M502" s="636" t="s">
        <v>123</v>
      </c>
      <c r="N502" s="549"/>
      <c r="O502" s="551">
        <v>0</v>
      </c>
      <c r="P502" s="551">
        <v>0</v>
      </c>
      <c r="Q502" s="552">
        <v>0</v>
      </c>
      <c r="R502" s="48"/>
      <c r="S502" s="48"/>
      <c r="T502" s="48"/>
      <c r="U502" s="48"/>
      <c r="V502" s="48"/>
    </row>
    <row r="503" spans="2:22" ht="22.5" customHeight="1" thickBot="1" x14ac:dyDescent="0.3">
      <c r="B503" s="1204"/>
      <c r="C503" s="1192"/>
      <c r="D503" s="555"/>
      <c r="E503" s="1199"/>
      <c r="F503" s="1201"/>
      <c r="G503" s="1201"/>
      <c r="H503" s="1199"/>
      <c r="I503" s="1199"/>
      <c r="J503" s="1204"/>
      <c r="K503" s="1199"/>
      <c r="L503" s="1199"/>
      <c r="M503" s="672" t="s">
        <v>124</v>
      </c>
      <c r="N503" s="550"/>
      <c r="O503" s="544">
        <v>5000</v>
      </c>
      <c r="P503" s="544">
        <v>0</v>
      </c>
      <c r="Q503" s="675">
        <v>0</v>
      </c>
      <c r="R503" s="48"/>
      <c r="S503" s="48"/>
      <c r="T503" s="48"/>
      <c r="U503" s="48"/>
      <c r="V503" s="48"/>
    </row>
    <row r="504" spans="2:22" ht="18.75" customHeight="1" thickBot="1" x14ac:dyDescent="0.3">
      <c r="B504" s="1205"/>
      <c r="C504" s="1216"/>
      <c r="D504" s="558"/>
      <c r="E504" s="1208"/>
      <c r="F504" s="1202"/>
      <c r="G504" s="1202"/>
      <c r="H504" s="1208"/>
      <c r="I504" s="1208"/>
      <c r="J504" s="1205"/>
      <c r="K504" s="1208"/>
      <c r="L504" s="1208"/>
      <c r="M504" s="547" t="s">
        <v>745</v>
      </c>
      <c r="N504" s="549"/>
      <c r="O504" s="551">
        <v>0</v>
      </c>
      <c r="P504" s="551">
        <v>0</v>
      </c>
      <c r="Q504" s="552">
        <v>0</v>
      </c>
      <c r="R504" s="48"/>
      <c r="S504" s="48"/>
      <c r="T504" s="48"/>
      <c r="U504" s="48"/>
      <c r="V504" s="48"/>
    </row>
    <row r="505" spans="2:22" ht="18.75" customHeight="1" thickBot="1" x14ac:dyDescent="0.3">
      <c r="B505" s="1206" t="s">
        <v>173</v>
      </c>
      <c r="C505" s="1215" t="s">
        <v>913</v>
      </c>
      <c r="D505" s="654">
        <v>27301830</v>
      </c>
      <c r="E505" s="1207" t="s">
        <v>385</v>
      </c>
      <c r="F505" s="1200" t="s">
        <v>918</v>
      </c>
      <c r="G505" s="1200" t="s">
        <v>917</v>
      </c>
      <c r="H505" s="1207" t="s">
        <v>240</v>
      </c>
      <c r="I505" s="1207">
        <v>1</v>
      </c>
      <c r="J505" s="1206" t="s">
        <v>462</v>
      </c>
      <c r="K505" s="1207" t="s">
        <v>199</v>
      </c>
      <c r="L505" s="1207" t="s">
        <v>199</v>
      </c>
      <c r="M505" s="542" t="s">
        <v>122</v>
      </c>
      <c r="N505" s="543"/>
      <c r="O505" s="544">
        <f>O506+O507</f>
        <v>152.97999999999999</v>
      </c>
      <c r="P505" s="544">
        <f>P506+P507</f>
        <v>0</v>
      </c>
      <c r="Q505" s="675">
        <f>Q506+Q507</f>
        <v>0</v>
      </c>
      <c r="R505" s="48"/>
      <c r="S505" s="48"/>
      <c r="T505" s="48"/>
      <c r="U505" s="48"/>
      <c r="V505" s="48"/>
    </row>
    <row r="506" spans="2:22" ht="18.75" customHeight="1" thickBot="1" x14ac:dyDescent="0.3">
      <c r="B506" s="1204"/>
      <c r="C506" s="1192"/>
      <c r="D506" s="555"/>
      <c r="E506" s="1199"/>
      <c r="F506" s="1201"/>
      <c r="G506" s="1201"/>
      <c r="H506" s="1199"/>
      <c r="I506" s="1199"/>
      <c r="J506" s="1204"/>
      <c r="K506" s="1199"/>
      <c r="L506" s="1199"/>
      <c r="M506" s="636" t="s">
        <v>123</v>
      </c>
      <c r="N506" s="549"/>
      <c r="O506" s="551">
        <v>0</v>
      </c>
      <c r="P506" s="551">
        <v>0</v>
      </c>
      <c r="Q506" s="552">
        <v>0</v>
      </c>
      <c r="R506" s="48"/>
      <c r="S506" s="48"/>
      <c r="T506" s="48"/>
      <c r="U506" s="48"/>
      <c r="V506" s="48"/>
    </row>
    <row r="507" spans="2:22" ht="18.75" customHeight="1" thickBot="1" x14ac:dyDescent="0.3">
      <c r="B507" s="1204"/>
      <c r="C507" s="1192"/>
      <c r="D507" s="555"/>
      <c r="E507" s="1199"/>
      <c r="F507" s="1201"/>
      <c r="G507" s="1201"/>
      <c r="H507" s="1199"/>
      <c r="I507" s="1199"/>
      <c r="J507" s="1204"/>
      <c r="K507" s="1199"/>
      <c r="L507" s="1199"/>
      <c r="M507" s="672" t="s">
        <v>124</v>
      </c>
      <c r="N507" s="550"/>
      <c r="O507" s="544">
        <v>152.97999999999999</v>
      </c>
      <c r="P507" s="544">
        <v>0</v>
      </c>
      <c r="Q507" s="675">
        <v>0</v>
      </c>
      <c r="R507" s="48"/>
      <c r="S507" s="48"/>
      <c r="T507" s="48"/>
      <c r="U507" s="48"/>
      <c r="V507" s="48"/>
    </row>
    <row r="508" spans="2:22" ht="18.75" customHeight="1" thickBot="1" x14ac:dyDescent="0.3">
      <c r="B508" s="1205"/>
      <c r="C508" s="1216"/>
      <c r="D508" s="558"/>
      <c r="E508" s="1208"/>
      <c r="F508" s="1202"/>
      <c r="G508" s="1202"/>
      <c r="H508" s="1208"/>
      <c r="I508" s="1208"/>
      <c r="J508" s="1205"/>
      <c r="K508" s="1208"/>
      <c r="L508" s="1208"/>
      <c r="M508" s="547" t="s">
        <v>745</v>
      </c>
      <c r="N508" s="549"/>
      <c r="O508" s="551">
        <v>0</v>
      </c>
      <c r="P508" s="551">
        <v>0</v>
      </c>
      <c r="Q508" s="552">
        <v>0</v>
      </c>
      <c r="R508" s="48"/>
      <c r="S508" s="48"/>
      <c r="T508" s="48"/>
      <c r="U508" s="48"/>
      <c r="V508" s="48"/>
    </row>
    <row r="509" spans="2:22" ht="32.25" customHeight="1" thickBot="1" x14ac:dyDescent="0.3">
      <c r="B509" s="1204" t="s">
        <v>172</v>
      </c>
      <c r="C509" s="1192" t="s">
        <v>291</v>
      </c>
      <c r="D509" s="682">
        <v>27301829</v>
      </c>
      <c r="E509" s="1199" t="s">
        <v>422</v>
      </c>
      <c r="F509" s="1201" t="s">
        <v>881</v>
      </c>
      <c r="G509" s="1201" t="s">
        <v>640</v>
      </c>
      <c r="H509" s="1199" t="s">
        <v>240</v>
      </c>
      <c r="I509" s="1199">
        <v>1</v>
      </c>
      <c r="J509" s="1204" t="s">
        <v>462</v>
      </c>
      <c r="K509" s="1199" t="s">
        <v>199</v>
      </c>
      <c r="L509" s="1199" t="s">
        <v>199</v>
      </c>
      <c r="M509" s="672" t="s">
        <v>122</v>
      </c>
      <c r="N509" s="550"/>
      <c r="O509" s="561">
        <f>O510+O511</f>
        <v>70</v>
      </c>
      <c r="P509" s="561">
        <f>P510+P511</f>
        <v>0</v>
      </c>
      <c r="Q509" s="562">
        <f>Q510+Q511</f>
        <v>0</v>
      </c>
      <c r="R509" s="48"/>
      <c r="S509" s="48"/>
      <c r="T509" s="48"/>
      <c r="U509" s="48"/>
      <c r="V509" s="48"/>
    </row>
    <row r="510" spans="2:22" ht="26.25" customHeight="1" thickBot="1" x14ac:dyDescent="0.3">
      <c r="B510" s="1204"/>
      <c r="C510" s="1192"/>
      <c r="D510" s="555"/>
      <c r="E510" s="1199"/>
      <c r="F510" s="1201"/>
      <c r="G510" s="1201"/>
      <c r="H510" s="1199"/>
      <c r="I510" s="1199"/>
      <c r="J510" s="1204"/>
      <c r="K510" s="1199"/>
      <c r="L510" s="1199"/>
      <c r="M510" s="636" t="s">
        <v>123</v>
      </c>
      <c r="N510" s="549"/>
      <c r="O510" s="551">
        <v>0</v>
      </c>
      <c r="P510" s="551">
        <v>0</v>
      </c>
      <c r="Q510" s="552">
        <v>0</v>
      </c>
      <c r="R510" s="48"/>
      <c r="S510" s="48"/>
      <c r="T510" s="48"/>
      <c r="U510" s="48"/>
      <c r="V510" s="48"/>
    </row>
    <row r="511" spans="2:22" ht="20.25" customHeight="1" thickBot="1" x14ac:dyDescent="0.3">
      <c r="B511" s="1204"/>
      <c r="C511" s="1192"/>
      <c r="D511" s="555"/>
      <c r="E511" s="1199"/>
      <c r="F511" s="1201"/>
      <c r="G511" s="1201"/>
      <c r="H511" s="1199"/>
      <c r="I511" s="1199"/>
      <c r="J511" s="1204"/>
      <c r="K511" s="1199"/>
      <c r="L511" s="1199"/>
      <c r="M511" s="672" t="s">
        <v>124</v>
      </c>
      <c r="N511" s="550"/>
      <c r="O511" s="544">
        <v>70</v>
      </c>
      <c r="P511" s="544">
        <v>0</v>
      </c>
      <c r="Q511" s="675">
        <v>0</v>
      </c>
      <c r="R511" s="48"/>
      <c r="S511" s="48"/>
      <c r="T511" s="48"/>
      <c r="U511" s="48"/>
      <c r="V511" s="48"/>
    </row>
    <row r="512" spans="2:22" ht="31.5" customHeight="1" thickBot="1" x14ac:dyDescent="0.3">
      <c r="B512" s="1204"/>
      <c r="C512" s="1192"/>
      <c r="D512" s="680"/>
      <c r="E512" s="1199"/>
      <c r="F512" s="1201"/>
      <c r="G512" s="1201"/>
      <c r="H512" s="1199"/>
      <c r="I512" s="1199"/>
      <c r="J512" s="1204"/>
      <c r="K512" s="1199"/>
      <c r="L512" s="1199"/>
      <c r="M512" s="671" t="s">
        <v>745</v>
      </c>
      <c r="N512" s="543"/>
      <c r="O512" s="544">
        <v>0</v>
      </c>
      <c r="P512" s="544">
        <v>0</v>
      </c>
      <c r="Q512" s="675">
        <v>0</v>
      </c>
      <c r="R512" s="48"/>
      <c r="S512" s="48"/>
      <c r="T512" s="48"/>
      <c r="U512" s="48"/>
      <c r="V512" s="48"/>
    </row>
    <row r="513" spans="2:22" ht="22.5" customHeight="1" thickBot="1" x14ac:dyDescent="0.3">
      <c r="B513" s="1206" t="s">
        <v>172</v>
      </c>
      <c r="C513" s="1215" t="s">
        <v>291</v>
      </c>
      <c r="D513" s="654">
        <v>27301829</v>
      </c>
      <c r="E513" s="1207" t="s">
        <v>422</v>
      </c>
      <c r="F513" s="1200" t="s">
        <v>831</v>
      </c>
      <c r="G513" s="1200" t="s">
        <v>425</v>
      </c>
      <c r="H513" s="1207" t="s">
        <v>240</v>
      </c>
      <c r="I513" s="1207">
        <v>1</v>
      </c>
      <c r="J513" s="1206" t="s">
        <v>462</v>
      </c>
      <c r="K513" s="1207" t="s">
        <v>199</v>
      </c>
      <c r="L513" s="1207" t="s">
        <v>199</v>
      </c>
      <c r="M513" s="542" t="s">
        <v>122</v>
      </c>
      <c r="N513" s="543"/>
      <c r="O513" s="544">
        <f>O514+O515</f>
        <v>788</v>
      </c>
      <c r="P513" s="544">
        <f>P514+P515</f>
        <v>0</v>
      </c>
      <c r="Q513" s="675">
        <f>Q514+Q515</f>
        <v>0</v>
      </c>
      <c r="R513" s="48"/>
      <c r="S513" s="48"/>
      <c r="T513" s="48"/>
      <c r="U513" s="48"/>
      <c r="V513" s="48"/>
    </row>
    <row r="514" spans="2:22" ht="22.5" customHeight="1" thickBot="1" x14ac:dyDescent="0.3">
      <c r="B514" s="1204"/>
      <c r="C514" s="1192"/>
      <c r="D514" s="555"/>
      <c r="E514" s="1199"/>
      <c r="F514" s="1201"/>
      <c r="G514" s="1201"/>
      <c r="H514" s="1199"/>
      <c r="I514" s="1199"/>
      <c r="J514" s="1204"/>
      <c r="K514" s="1199"/>
      <c r="L514" s="1199"/>
      <c r="M514" s="636" t="s">
        <v>123</v>
      </c>
      <c r="N514" s="549"/>
      <c r="O514" s="551">
        <v>0</v>
      </c>
      <c r="P514" s="551">
        <v>0</v>
      </c>
      <c r="Q514" s="552">
        <v>0</v>
      </c>
      <c r="R514" s="48"/>
      <c r="S514" s="48"/>
      <c r="T514" s="48"/>
      <c r="U514" s="48"/>
      <c r="V514" s="48"/>
    </row>
    <row r="515" spans="2:22" ht="25.5" customHeight="1" thickBot="1" x14ac:dyDescent="0.3">
      <c r="B515" s="1204"/>
      <c r="C515" s="1192"/>
      <c r="D515" s="555"/>
      <c r="E515" s="1199"/>
      <c r="F515" s="1201"/>
      <c r="G515" s="1201"/>
      <c r="H515" s="1199"/>
      <c r="I515" s="1199"/>
      <c r="J515" s="1204"/>
      <c r="K515" s="1199"/>
      <c r="L515" s="1199"/>
      <c r="M515" s="672" t="s">
        <v>124</v>
      </c>
      <c r="N515" s="550"/>
      <c r="O515" s="544">
        <v>788</v>
      </c>
      <c r="P515" s="544">
        <v>0</v>
      </c>
      <c r="Q515" s="675">
        <v>0</v>
      </c>
      <c r="R515" s="48"/>
      <c r="S515" s="48"/>
      <c r="T515" s="48"/>
      <c r="U515" s="48"/>
      <c r="V515" s="48"/>
    </row>
    <row r="516" spans="2:22" ht="24.75" customHeight="1" thickBot="1" x14ac:dyDescent="0.3">
      <c r="B516" s="1205"/>
      <c r="C516" s="1216"/>
      <c r="D516" s="558"/>
      <c r="E516" s="1208"/>
      <c r="F516" s="1202"/>
      <c r="G516" s="1202"/>
      <c r="H516" s="1208"/>
      <c r="I516" s="1208"/>
      <c r="J516" s="1205"/>
      <c r="K516" s="1208"/>
      <c r="L516" s="1208"/>
      <c r="M516" s="547" t="s">
        <v>745</v>
      </c>
      <c r="N516" s="549"/>
      <c r="O516" s="551">
        <v>0</v>
      </c>
      <c r="P516" s="551">
        <v>0</v>
      </c>
      <c r="Q516" s="552">
        <v>0</v>
      </c>
      <c r="R516" s="48"/>
      <c r="S516" s="48"/>
      <c r="T516" s="48"/>
      <c r="U516" s="48"/>
      <c r="V516" s="48"/>
    </row>
    <row r="517" spans="2:22" ht="22.5" customHeight="1" thickBot="1" x14ac:dyDescent="0.3">
      <c r="B517" s="1204" t="s">
        <v>172</v>
      </c>
      <c r="C517" s="1192" t="s">
        <v>291</v>
      </c>
      <c r="D517" s="682">
        <v>27301829</v>
      </c>
      <c r="E517" s="1199" t="s">
        <v>426</v>
      </c>
      <c r="F517" s="1201" t="s">
        <v>763</v>
      </c>
      <c r="G517" s="1201" t="s">
        <v>388</v>
      </c>
      <c r="H517" s="1209" t="s">
        <v>240</v>
      </c>
      <c r="I517" s="1199" t="s">
        <v>263</v>
      </c>
      <c r="J517" s="1204" t="s">
        <v>462</v>
      </c>
      <c r="K517" s="1199" t="s">
        <v>199</v>
      </c>
      <c r="L517" s="1199" t="s">
        <v>199</v>
      </c>
      <c r="M517" s="672" t="s">
        <v>122</v>
      </c>
      <c r="N517" s="550"/>
      <c r="O517" s="561">
        <f>O518+O519</f>
        <v>0</v>
      </c>
      <c r="P517" s="561">
        <f>P518+P519</f>
        <v>0</v>
      </c>
      <c r="Q517" s="562">
        <f>Q518+Q519</f>
        <v>0</v>
      </c>
      <c r="R517" s="48"/>
      <c r="S517" s="48"/>
      <c r="T517" s="48"/>
      <c r="U517" s="48"/>
      <c r="V517" s="48"/>
    </row>
    <row r="518" spans="2:22" ht="22.5" customHeight="1" thickBot="1" x14ac:dyDescent="0.3">
      <c r="B518" s="1204"/>
      <c r="C518" s="1192"/>
      <c r="D518" s="555"/>
      <c r="E518" s="1199"/>
      <c r="F518" s="1201"/>
      <c r="G518" s="1201"/>
      <c r="H518" s="1209"/>
      <c r="I518" s="1199"/>
      <c r="J518" s="1204"/>
      <c r="K518" s="1199"/>
      <c r="L518" s="1199"/>
      <c r="M518" s="636" t="s">
        <v>123</v>
      </c>
      <c r="N518" s="549"/>
      <c r="O518" s="551">
        <v>0</v>
      </c>
      <c r="P518" s="551">
        <v>0</v>
      </c>
      <c r="Q518" s="552">
        <v>0</v>
      </c>
      <c r="R518" s="48"/>
      <c r="S518" s="48"/>
      <c r="T518" s="48"/>
      <c r="U518" s="48"/>
      <c r="V518" s="48"/>
    </row>
    <row r="519" spans="2:22" ht="21.75" customHeight="1" thickBot="1" x14ac:dyDescent="0.3">
      <c r="B519" s="1204"/>
      <c r="C519" s="1192"/>
      <c r="D519" s="555"/>
      <c r="E519" s="1199"/>
      <c r="F519" s="1201"/>
      <c r="G519" s="1201"/>
      <c r="H519" s="1209"/>
      <c r="I519" s="1199"/>
      <c r="J519" s="1204"/>
      <c r="K519" s="1199"/>
      <c r="L519" s="1199"/>
      <c r="M519" s="672" t="s">
        <v>124</v>
      </c>
      <c r="N519" s="550"/>
      <c r="O519" s="544">
        <v>0</v>
      </c>
      <c r="P519" s="544">
        <v>0</v>
      </c>
      <c r="Q519" s="675">
        <v>0</v>
      </c>
      <c r="R519" s="48"/>
      <c r="S519" s="48"/>
      <c r="T519" s="48"/>
      <c r="U519" s="48"/>
      <c r="V519" s="48"/>
    </row>
    <row r="520" spans="2:22" ht="19.5" customHeight="1" thickBot="1" x14ac:dyDescent="0.3">
      <c r="B520" s="1204"/>
      <c r="C520" s="1192"/>
      <c r="D520" s="680"/>
      <c r="E520" s="1199"/>
      <c r="F520" s="1201"/>
      <c r="G520" s="1201"/>
      <c r="H520" s="1209"/>
      <c r="I520" s="1199"/>
      <c r="J520" s="1204"/>
      <c r="K520" s="1199"/>
      <c r="L520" s="1199"/>
      <c r="M520" s="671" t="s">
        <v>745</v>
      </c>
      <c r="N520" s="543"/>
      <c r="O520" s="544">
        <v>898.53</v>
      </c>
      <c r="P520" s="544">
        <v>0</v>
      </c>
      <c r="Q520" s="675">
        <v>0</v>
      </c>
      <c r="R520" s="48"/>
      <c r="S520" s="48"/>
      <c r="T520" s="48"/>
      <c r="U520" s="48"/>
      <c r="V520" s="48"/>
    </row>
    <row r="521" spans="2:22" ht="19.5" customHeight="1" thickBot="1" x14ac:dyDescent="0.3">
      <c r="B521" s="1206" t="s">
        <v>172</v>
      </c>
      <c r="C521" s="1215" t="s">
        <v>291</v>
      </c>
      <c r="D521" s="654">
        <v>27301829</v>
      </c>
      <c r="E521" s="1207" t="s">
        <v>426</v>
      </c>
      <c r="F521" s="1318" t="s">
        <v>877</v>
      </c>
      <c r="G521" s="1200" t="s">
        <v>829</v>
      </c>
      <c r="H521" s="1232" t="s">
        <v>240</v>
      </c>
      <c r="I521" s="1207">
        <v>1</v>
      </c>
      <c r="J521" s="1206" t="s">
        <v>462</v>
      </c>
      <c r="K521" s="1207" t="s">
        <v>199</v>
      </c>
      <c r="L521" s="1207" t="s">
        <v>199</v>
      </c>
      <c r="M521" s="542" t="s">
        <v>122</v>
      </c>
      <c r="N521" s="543"/>
      <c r="O521" s="544">
        <f>O522+O523</f>
        <v>1500</v>
      </c>
      <c r="P521" s="544">
        <f>P522+P523</f>
        <v>0</v>
      </c>
      <c r="Q521" s="675">
        <f>Q522+Q523</f>
        <v>0</v>
      </c>
      <c r="R521" s="48"/>
      <c r="S521" s="48"/>
      <c r="T521" s="48"/>
      <c r="U521" s="48"/>
      <c r="V521" s="48"/>
    </row>
    <row r="522" spans="2:22" ht="19.5" customHeight="1" thickBot="1" x14ac:dyDescent="0.3">
      <c r="B522" s="1204"/>
      <c r="C522" s="1192"/>
      <c r="D522" s="555"/>
      <c r="E522" s="1199"/>
      <c r="F522" s="1201"/>
      <c r="G522" s="1201"/>
      <c r="H522" s="1209"/>
      <c r="I522" s="1199"/>
      <c r="J522" s="1204"/>
      <c r="K522" s="1199"/>
      <c r="L522" s="1199"/>
      <c r="M522" s="636" t="s">
        <v>123</v>
      </c>
      <c r="N522" s="549"/>
      <c r="O522" s="551">
        <v>0</v>
      </c>
      <c r="P522" s="551">
        <v>0</v>
      </c>
      <c r="Q522" s="552">
        <v>0</v>
      </c>
      <c r="R522" s="48"/>
      <c r="S522" s="48"/>
      <c r="T522" s="48"/>
      <c r="U522" s="48"/>
      <c r="V522" s="48"/>
    </row>
    <row r="523" spans="2:22" ht="19.5" customHeight="1" thickBot="1" x14ac:dyDescent="0.3">
      <c r="B523" s="1204"/>
      <c r="C523" s="1192"/>
      <c r="D523" s="555"/>
      <c r="E523" s="1199"/>
      <c r="F523" s="1201"/>
      <c r="G523" s="1201"/>
      <c r="H523" s="1209"/>
      <c r="I523" s="1199"/>
      <c r="J523" s="1204"/>
      <c r="K523" s="1199"/>
      <c r="L523" s="1199"/>
      <c r="M523" s="672" t="s">
        <v>124</v>
      </c>
      <c r="N523" s="550"/>
      <c r="O523" s="544">
        <v>1500</v>
      </c>
      <c r="P523" s="544">
        <v>0</v>
      </c>
      <c r="Q523" s="675">
        <v>0</v>
      </c>
      <c r="R523" s="48"/>
      <c r="S523" s="48"/>
      <c r="T523" s="48"/>
      <c r="U523" s="48"/>
      <c r="V523" s="48"/>
    </row>
    <row r="524" spans="2:22" ht="19.5" customHeight="1" thickBot="1" x14ac:dyDescent="0.3">
      <c r="B524" s="1205"/>
      <c r="C524" s="1216"/>
      <c r="D524" s="558"/>
      <c r="E524" s="1208"/>
      <c r="F524" s="1202"/>
      <c r="G524" s="1202"/>
      <c r="H524" s="1210"/>
      <c r="I524" s="1208"/>
      <c r="J524" s="1205"/>
      <c r="K524" s="1208"/>
      <c r="L524" s="1208"/>
      <c r="M524" s="547" t="s">
        <v>745</v>
      </c>
      <c r="N524" s="549"/>
      <c r="O524" s="551">
        <v>0</v>
      </c>
      <c r="P524" s="551">
        <v>0</v>
      </c>
      <c r="Q524" s="552">
        <v>0</v>
      </c>
      <c r="R524" s="48"/>
      <c r="S524" s="48"/>
      <c r="T524" s="48"/>
      <c r="U524" s="48"/>
      <c r="V524" s="48"/>
    </row>
    <row r="525" spans="2:22" ht="27" customHeight="1" thickBot="1" x14ac:dyDescent="0.3">
      <c r="B525" s="1204" t="s">
        <v>172</v>
      </c>
      <c r="C525" s="1192" t="s">
        <v>291</v>
      </c>
      <c r="D525" s="682">
        <v>27301829</v>
      </c>
      <c r="E525" s="1199" t="s">
        <v>525</v>
      </c>
      <c r="F525" s="1201" t="s">
        <v>834</v>
      </c>
      <c r="G525" s="1201" t="s">
        <v>835</v>
      </c>
      <c r="H525" s="1209" t="s">
        <v>240</v>
      </c>
      <c r="I525" s="1199">
        <v>2</v>
      </c>
      <c r="J525" s="1204" t="s">
        <v>462</v>
      </c>
      <c r="K525" s="1199" t="s">
        <v>199</v>
      </c>
      <c r="L525" s="1199" t="s">
        <v>199</v>
      </c>
      <c r="M525" s="672" t="s">
        <v>122</v>
      </c>
      <c r="N525" s="550"/>
      <c r="O525" s="561">
        <f>O526+O527</f>
        <v>0</v>
      </c>
      <c r="P525" s="561">
        <f>P526+P527</f>
        <v>0</v>
      </c>
      <c r="Q525" s="562">
        <f>Q526+Q527</f>
        <v>0</v>
      </c>
      <c r="R525" s="48"/>
      <c r="S525" s="48"/>
      <c r="T525" s="48"/>
      <c r="U525" s="48"/>
      <c r="V525" s="48"/>
    </row>
    <row r="526" spans="2:22" ht="19.5" customHeight="1" thickBot="1" x14ac:dyDescent="0.3">
      <c r="B526" s="1204"/>
      <c r="C526" s="1192"/>
      <c r="D526" s="555"/>
      <c r="E526" s="1199"/>
      <c r="F526" s="1201"/>
      <c r="G526" s="1201"/>
      <c r="H526" s="1209"/>
      <c r="I526" s="1199"/>
      <c r="J526" s="1204"/>
      <c r="K526" s="1199"/>
      <c r="L526" s="1199"/>
      <c r="M526" s="636" t="s">
        <v>123</v>
      </c>
      <c r="N526" s="549"/>
      <c r="O526" s="551">
        <v>0</v>
      </c>
      <c r="P526" s="551">
        <v>0</v>
      </c>
      <c r="Q526" s="552">
        <v>0</v>
      </c>
      <c r="R526" s="48"/>
      <c r="S526" s="48"/>
      <c r="T526" s="48"/>
      <c r="U526" s="48"/>
      <c r="V526" s="48"/>
    </row>
    <row r="527" spans="2:22" ht="22.5" customHeight="1" thickBot="1" x14ac:dyDescent="0.3">
      <c r="B527" s="1204"/>
      <c r="C527" s="1192"/>
      <c r="D527" s="555"/>
      <c r="E527" s="1199"/>
      <c r="F527" s="1201"/>
      <c r="G527" s="1201"/>
      <c r="H527" s="1209"/>
      <c r="I527" s="1199"/>
      <c r="J527" s="1204"/>
      <c r="K527" s="1199"/>
      <c r="L527" s="1199"/>
      <c r="M527" s="672" t="s">
        <v>124</v>
      </c>
      <c r="N527" s="550"/>
      <c r="O527" s="544">
        <v>0</v>
      </c>
      <c r="P527" s="544">
        <v>0</v>
      </c>
      <c r="Q527" s="675">
        <v>0</v>
      </c>
      <c r="R527" s="48"/>
      <c r="S527" s="48"/>
      <c r="T527" s="48"/>
      <c r="U527" s="48"/>
      <c r="V527" s="48"/>
    </row>
    <row r="528" spans="2:22" ht="22.5" customHeight="1" thickBot="1" x14ac:dyDescent="0.3">
      <c r="B528" s="1204"/>
      <c r="C528" s="1192"/>
      <c r="D528" s="680"/>
      <c r="E528" s="1199"/>
      <c r="F528" s="1201"/>
      <c r="G528" s="1201"/>
      <c r="H528" s="1209"/>
      <c r="I528" s="1199"/>
      <c r="J528" s="1204"/>
      <c r="K528" s="1199"/>
      <c r="L528" s="1199"/>
      <c r="M528" s="671" t="s">
        <v>745</v>
      </c>
      <c r="N528" s="543"/>
      <c r="O528" s="544">
        <v>102.9</v>
      </c>
      <c r="P528" s="544">
        <v>0</v>
      </c>
      <c r="Q528" s="675">
        <v>0</v>
      </c>
      <c r="R528" s="48"/>
      <c r="S528" s="48"/>
      <c r="T528" s="48"/>
      <c r="U528" s="48"/>
      <c r="V528" s="48"/>
    </row>
    <row r="529" spans="2:22" ht="22.5" customHeight="1" thickBot="1" x14ac:dyDescent="0.3">
      <c r="B529" s="1206" t="s">
        <v>172</v>
      </c>
      <c r="C529" s="1215" t="s">
        <v>291</v>
      </c>
      <c r="D529" s="654">
        <v>27301829</v>
      </c>
      <c r="E529" s="1207" t="s">
        <v>525</v>
      </c>
      <c r="F529" s="1200" t="s">
        <v>836</v>
      </c>
      <c r="G529" s="1200" t="s">
        <v>190</v>
      </c>
      <c r="H529" s="1232" t="s">
        <v>240</v>
      </c>
      <c r="I529" s="1207">
        <v>1</v>
      </c>
      <c r="J529" s="1206" t="s">
        <v>462</v>
      </c>
      <c r="K529" s="1207" t="s">
        <v>199</v>
      </c>
      <c r="L529" s="1207" t="s">
        <v>199</v>
      </c>
      <c r="M529" s="542" t="s">
        <v>122</v>
      </c>
      <c r="N529" s="543"/>
      <c r="O529" s="544">
        <f>O530+O531</f>
        <v>4130.5839999999998</v>
      </c>
      <c r="P529" s="544">
        <f>P530+P531</f>
        <v>0</v>
      </c>
      <c r="Q529" s="675">
        <f>Q530+Q531</f>
        <v>0</v>
      </c>
      <c r="R529" s="48"/>
      <c r="S529" s="48"/>
      <c r="T529" s="48"/>
      <c r="U529" s="48"/>
      <c r="V529" s="48"/>
    </row>
    <row r="530" spans="2:22" ht="22.5" customHeight="1" thickBot="1" x14ac:dyDescent="0.3">
      <c r="B530" s="1204"/>
      <c r="C530" s="1192"/>
      <c r="D530" s="555"/>
      <c r="E530" s="1199"/>
      <c r="F530" s="1201"/>
      <c r="G530" s="1201"/>
      <c r="H530" s="1209"/>
      <c r="I530" s="1199"/>
      <c r="J530" s="1204"/>
      <c r="K530" s="1199"/>
      <c r="L530" s="1199"/>
      <c r="M530" s="636" t="s">
        <v>123</v>
      </c>
      <c r="N530" s="549"/>
      <c r="O530" s="551">
        <v>0</v>
      </c>
      <c r="P530" s="551">
        <v>0</v>
      </c>
      <c r="Q530" s="552">
        <v>0</v>
      </c>
      <c r="R530" s="48"/>
      <c r="S530" s="48"/>
      <c r="T530" s="48"/>
      <c r="U530" s="48"/>
      <c r="V530" s="48"/>
    </row>
    <row r="531" spans="2:22" ht="22.5" customHeight="1" thickBot="1" x14ac:dyDescent="0.3">
      <c r="B531" s="1204"/>
      <c r="C531" s="1192"/>
      <c r="D531" s="555"/>
      <c r="E531" s="1199"/>
      <c r="F531" s="1201"/>
      <c r="G531" s="1201"/>
      <c r="H531" s="1209"/>
      <c r="I531" s="1199"/>
      <c r="J531" s="1204"/>
      <c r="K531" s="1199"/>
      <c r="L531" s="1199"/>
      <c r="M531" s="672" t="s">
        <v>124</v>
      </c>
      <c r="N531" s="550"/>
      <c r="O531" s="544">
        <f>3930.584+200</f>
        <v>4130.5839999999998</v>
      </c>
      <c r="P531" s="544">
        <v>0</v>
      </c>
      <c r="Q531" s="675">
        <v>0</v>
      </c>
      <c r="R531" s="48">
        <v>4130.5839999999998</v>
      </c>
      <c r="S531" s="707">
        <f>R531-O531</f>
        <v>0</v>
      </c>
      <c r="T531" s="48"/>
      <c r="U531" s="48"/>
      <c r="V531" s="48"/>
    </row>
    <row r="532" spans="2:22" ht="22.5" customHeight="1" thickBot="1" x14ac:dyDescent="0.3">
      <c r="B532" s="1205"/>
      <c r="C532" s="1216"/>
      <c r="D532" s="558"/>
      <c r="E532" s="1208"/>
      <c r="F532" s="1202"/>
      <c r="G532" s="1202"/>
      <c r="H532" s="1210"/>
      <c r="I532" s="1208"/>
      <c r="J532" s="1205"/>
      <c r="K532" s="1208"/>
      <c r="L532" s="1208"/>
      <c r="M532" s="547" t="s">
        <v>745</v>
      </c>
      <c r="N532" s="549"/>
      <c r="O532" s="551">
        <v>0</v>
      </c>
      <c r="P532" s="551">
        <v>0</v>
      </c>
      <c r="Q532" s="552">
        <v>0</v>
      </c>
      <c r="R532" s="48"/>
      <c r="S532" s="48"/>
      <c r="T532" s="48"/>
      <c r="U532" s="48"/>
      <c r="V532" s="48"/>
    </row>
    <row r="533" spans="2:22" ht="22.5" customHeight="1" thickBot="1" x14ac:dyDescent="0.3">
      <c r="B533" s="1204" t="s">
        <v>172</v>
      </c>
      <c r="C533" s="1192" t="s">
        <v>291</v>
      </c>
      <c r="D533" s="682" t="s">
        <v>450</v>
      </c>
      <c r="E533" s="1199" t="s">
        <v>449</v>
      </c>
      <c r="F533" s="1201" t="s">
        <v>838</v>
      </c>
      <c r="G533" s="1201" t="s">
        <v>190</v>
      </c>
      <c r="H533" s="1209" t="s">
        <v>240</v>
      </c>
      <c r="I533" s="1199" t="s">
        <v>199</v>
      </c>
      <c r="J533" s="1204" t="s">
        <v>528</v>
      </c>
      <c r="K533" s="1199" t="s">
        <v>199</v>
      </c>
      <c r="L533" s="1199" t="s">
        <v>199</v>
      </c>
      <c r="M533" s="672" t="s">
        <v>122</v>
      </c>
      <c r="N533" s="550"/>
      <c r="O533" s="561">
        <f>O534+O535</f>
        <v>0</v>
      </c>
      <c r="P533" s="561">
        <f>P534+P535</f>
        <v>3447</v>
      </c>
      <c r="Q533" s="562">
        <f>Q534+Q535</f>
        <v>0</v>
      </c>
      <c r="R533" s="48"/>
      <c r="S533" s="48"/>
      <c r="T533" s="48"/>
      <c r="U533" s="48"/>
      <c r="V533" s="48"/>
    </row>
    <row r="534" spans="2:22" ht="22.5" customHeight="1" thickBot="1" x14ac:dyDescent="0.3">
      <c r="B534" s="1204"/>
      <c r="C534" s="1192"/>
      <c r="D534" s="555"/>
      <c r="E534" s="1199"/>
      <c r="F534" s="1201"/>
      <c r="G534" s="1201"/>
      <c r="H534" s="1209"/>
      <c r="I534" s="1199"/>
      <c r="J534" s="1204"/>
      <c r="K534" s="1199"/>
      <c r="L534" s="1199"/>
      <c r="M534" s="636" t="s">
        <v>123</v>
      </c>
      <c r="N534" s="549"/>
      <c r="O534" s="544">
        <v>0</v>
      </c>
      <c r="P534" s="544">
        <v>0</v>
      </c>
      <c r="Q534" s="675">
        <v>0</v>
      </c>
      <c r="R534" s="48"/>
      <c r="S534" s="48"/>
      <c r="T534" s="48"/>
      <c r="U534" s="48"/>
      <c r="V534" s="48"/>
    </row>
    <row r="535" spans="2:22" ht="22.5" customHeight="1" thickBot="1" x14ac:dyDescent="0.3">
      <c r="B535" s="1204"/>
      <c r="C535" s="1192"/>
      <c r="D535" s="555"/>
      <c r="E535" s="1199"/>
      <c r="F535" s="1201"/>
      <c r="G535" s="1201"/>
      <c r="H535" s="1209"/>
      <c r="I535" s="1199"/>
      <c r="J535" s="1204"/>
      <c r="K535" s="1199"/>
      <c r="L535" s="1199"/>
      <c r="M535" s="672" t="s">
        <v>124</v>
      </c>
      <c r="N535" s="550"/>
      <c r="O535" s="544">
        <v>0</v>
      </c>
      <c r="P535" s="544">
        <v>3447</v>
      </c>
      <c r="Q535" s="675">
        <v>0</v>
      </c>
      <c r="R535" s="48"/>
      <c r="S535" s="48"/>
      <c r="T535" s="48"/>
      <c r="U535" s="48"/>
      <c r="V535" s="48"/>
    </row>
    <row r="536" spans="2:22" ht="22.5" customHeight="1" thickBot="1" x14ac:dyDescent="0.3">
      <c r="B536" s="1204"/>
      <c r="C536" s="1192"/>
      <c r="D536" s="680"/>
      <c r="E536" s="1199"/>
      <c r="F536" s="1201"/>
      <c r="G536" s="1201"/>
      <c r="H536" s="1209"/>
      <c r="I536" s="1199"/>
      <c r="J536" s="1204"/>
      <c r="K536" s="1199"/>
      <c r="L536" s="1199"/>
      <c r="M536" s="671" t="s">
        <v>745</v>
      </c>
      <c r="N536" s="543"/>
      <c r="O536" s="544">
        <v>0</v>
      </c>
      <c r="P536" s="544">
        <v>0</v>
      </c>
      <c r="Q536" s="675">
        <v>0</v>
      </c>
      <c r="R536" s="48"/>
      <c r="S536" s="48"/>
      <c r="T536" s="48"/>
      <c r="U536" s="48"/>
      <c r="V536" s="48"/>
    </row>
    <row r="537" spans="2:22" s="48" customFormat="1" ht="22.5" customHeight="1" thickBot="1" x14ac:dyDescent="0.3">
      <c r="B537" s="1206" t="s">
        <v>172</v>
      </c>
      <c r="C537" s="1215" t="s">
        <v>291</v>
      </c>
      <c r="D537" s="654">
        <v>27301829</v>
      </c>
      <c r="E537" s="1207" t="s">
        <v>419</v>
      </c>
      <c r="F537" s="1200" t="s">
        <v>860</v>
      </c>
      <c r="G537" s="1200" t="s">
        <v>190</v>
      </c>
      <c r="H537" s="1232" t="s">
        <v>240</v>
      </c>
      <c r="I537" s="1207" t="s">
        <v>199</v>
      </c>
      <c r="J537" s="1206" t="s">
        <v>528</v>
      </c>
      <c r="K537" s="1207">
        <v>1</v>
      </c>
      <c r="L537" s="1207" t="s">
        <v>199</v>
      </c>
      <c r="M537" s="542" t="s">
        <v>122</v>
      </c>
      <c r="N537" s="543"/>
      <c r="O537" s="544">
        <f>O538+O539</f>
        <v>0</v>
      </c>
      <c r="P537" s="544">
        <f>P538+P539</f>
        <v>5500</v>
      </c>
      <c r="Q537" s="675">
        <f>Q538+Q539</f>
        <v>0</v>
      </c>
    </row>
    <row r="538" spans="2:22" s="48" customFormat="1" ht="22.5" customHeight="1" thickBot="1" x14ac:dyDescent="0.3">
      <c r="B538" s="1204"/>
      <c r="C538" s="1192"/>
      <c r="D538" s="555"/>
      <c r="E538" s="1199"/>
      <c r="F538" s="1201"/>
      <c r="G538" s="1201"/>
      <c r="H538" s="1209"/>
      <c r="I538" s="1199"/>
      <c r="J538" s="1204"/>
      <c r="K538" s="1199"/>
      <c r="L538" s="1199"/>
      <c r="M538" s="636" t="s">
        <v>123</v>
      </c>
      <c r="N538" s="549"/>
      <c r="O538" s="551">
        <v>0</v>
      </c>
      <c r="P538" s="551">
        <v>0</v>
      </c>
      <c r="Q538" s="552">
        <v>0</v>
      </c>
    </row>
    <row r="539" spans="2:22" s="48" customFormat="1" ht="22.5" customHeight="1" thickBot="1" x14ac:dyDescent="0.3">
      <c r="B539" s="1204"/>
      <c r="C539" s="1192"/>
      <c r="D539" s="555"/>
      <c r="E539" s="1199"/>
      <c r="F539" s="1201"/>
      <c r="G539" s="1201"/>
      <c r="H539" s="1209"/>
      <c r="I539" s="1199"/>
      <c r="J539" s="1204"/>
      <c r="K539" s="1199"/>
      <c r="L539" s="1199"/>
      <c r="M539" s="672" t="s">
        <v>124</v>
      </c>
      <c r="N539" s="550"/>
      <c r="O539" s="544">
        <v>0</v>
      </c>
      <c r="P539" s="544">
        <v>5500</v>
      </c>
      <c r="Q539" s="675">
        <v>0</v>
      </c>
    </row>
    <row r="540" spans="2:22" s="48" customFormat="1" ht="22.5" customHeight="1" thickBot="1" x14ac:dyDescent="0.3">
      <c r="B540" s="1205"/>
      <c r="C540" s="1216"/>
      <c r="D540" s="558"/>
      <c r="E540" s="1208"/>
      <c r="F540" s="1202"/>
      <c r="G540" s="1202"/>
      <c r="H540" s="1210"/>
      <c r="I540" s="1208"/>
      <c r="J540" s="1205"/>
      <c r="K540" s="1208"/>
      <c r="L540" s="1208"/>
      <c r="M540" s="547" t="s">
        <v>745</v>
      </c>
      <c r="N540" s="549"/>
      <c r="O540" s="551">
        <v>0</v>
      </c>
      <c r="P540" s="551">
        <v>0</v>
      </c>
      <c r="Q540" s="552">
        <v>0</v>
      </c>
    </row>
    <row r="541" spans="2:22" s="48" customFormat="1" ht="22.5" customHeight="1" thickBot="1" x14ac:dyDescent="0.3">
      <c r="B541" s="1204" t="s">
        <v>172</v>
      </c>
      <c r="C541" s="1192" t="s">
        <v>291</v>
      </c>
      <c r="D541" s="682">
        <v>27301829</v>
      </c>
      <c r="E541" s="1199" t="s">
        <v>385</v>
      </c>
      <c r="F541" s="1201" t="s">
        <v>861</v>
      </c>
      <c r="G541" s="1201" t="s">
        <v>190</v>
      </c>
      <c r="H541" s="1209" t="s">
        <v>240</v>
      </c>
      <c r="I541" s="1199" t="s">
        <v>199</v>
      </c>
      <c r="J541" s="1204" t="s">
        <v>528</v>
      </c>
      <c r="K541" s="1199">
        <v>1</v>
      </c>
      <c r="L541" s="1199" t="s">
        <v>199</v>
      </c>
      <c r="M541" s="672" t="s">
        <v>122</v>
      </c>
      <c r="N541" s="550"/>
      <c r="O541" s="561">
        <f>O542+O543</f>
        <v>0</v>
      </c>
      <c r="P541" s="561">
        <f>P542+P543</f>
        <v>765</v>
      </c>
      <c r="Q541" s="562">
        <f>Q542+Q543</f>
        <v>0</v>
      </c>
    </row>
    <row r="542" spans="2:22" s="48" customFormat="1" ht="22.5" customHeight="1" thickBot="1" x14ac:dyDescent="0.3">
      <c r="B542" s="1204"/>
      <c r="C542" s="1192"/>
      <c r="D542" s="555"/>
      <c r="E542" s="1199"/>
      <c r="F542" s="1201"/>
      <c r="G542" s="1201"/>
      <c r="H542" s="1209"/>
      <c r="I542" s="1199"/>
      <c r="J542" s="1204"/>
      <c r="K542" s="1199"/>
      <c r="L542" s="1199"/>
      <c r="M542" s="636" t="s">
        <v>123</v>
      </c>
      <c r="N542" s="549"/>
      <c r="O542" s="551">
        <v>0</v>
      </c>
      <c r="P542" s="551">
        <v>0</v>
      </c>
      <c r="Q542" s="552">
        <v>0</v>
      </c>
    </row>
    <row r="543" spans="2:22" s="48" customFormat="1" ht="22.5" customHeight="1" thickBot="1" x14ac:dyDescent="0.3">
      <c r="B543" s="1204"/>
      <c r="C543" s="1192"/>
      <c r="D543" s="555"/>
      <c r="E543" s="1199"/>
      <c r="F543" s="1201"/>
      <c r="G543" s="1201"/>
      <c r="H543" s="1209"/>
      <c r="I543" s="1199"/>
      <c r="J543" s="1204"/>
      <c r="K543" s="1199"/>
      <c r="L543" s="1199"/>
      <c r="M543" s="672" t="s">
        <v>124</v>
      </c>
      <c r="N543" s="550"/>
      <c r="O543" s="544">
        <v>0</v>
      </c>
      <c r="P543" s="544">
        <v>765</v>
      </c>
      <c r="Q543" s="675">
        <v>0</v>
      </c>
    </row>
    <row r="544" spans="2:22" s="48" customFormat="1" ht="22.5" customHeight="1" thickBot="1" x14ac:dyDescent="0.3">
      <c r="B544" s="1204"/>
      <c r="C544" s="1192"/>
      <c r="D544" s="680"/>
      <c r="E544" s="1199"/>
      <c r="F544" s="1201"/>
      <c r="G544" s="1201"/>
      <c r="H544" s="1209"/>
      <c r="I544" s="1199"/>
      <c r="J544" s="1204"/>
      <c r="K544" s="1199"/>
      <c r="L544" s="1199"/>
      <c r="M544" s="671" t="s">
        <v>745</v>
      </c>
      <c r="N544" s="543"/>
      <c r="O544" s="544">
        <v>0</v>
      </c>
      <c r="P544" s="544">
        <v>0</v>
      </c>
      <c r="Q544" s="675">
        <v>0</v>
      </c>
    </row>
    <row r="545" spans="2:22" s="48" customFormat="1" ht="22.5" customHeight="1" thickBot="1" x14ac:dyDescent="0.3">
      <c r="B545" s="1206" t="s">
        <v>172</v>
      </c>
      <c r="C545" s="1215" t="s">
        <v>291</v>
      </c>
      <c r="D545" s="654">
        <v>27301829</v>
      </c>
      <c r="E545" s="1207" t="s">
        <v>385</v>
      </c>
      <c r="F545" s="1200" t="s">
        <v>862</v>
      </c>
      <c r="G545" s="1200" t="s">
        <v>190</v>
      </c>
      <c r="H545" s="1232" t="s">
        <v>240</v>
      </c>
      <c r="I545" s="1207" t="s">
        <v>199</v>
      </c>
      <c r="J545" s="1206" t="s">
        <v>528</v>
      </c>
      <c r="K545" s="1207">
        <v>1</v>
      </c>
      <c r="L545" s="1207" t="s">
        <v>199</v>
      </c>
      <c r="M545" s="542" t="s">
        <v>122</v>
      </c>
      <c r="N545" s="543"/>
      <c r="O545" s="544">
        <f>O546+O547</f>
        <v>0</v>
      </c>
      <c r="P545" s="544">
        <f>P546+P547</f>
        <v>500</v>
      </c>
      <c r="Q545" s="675">
        <f>Q546+Q547</f>
        <v>0</v>
      </c>
    </row>
    <row r="546" spans="2:22" s="48" customFormat="1" ht="22.5" customHeight="1" thickBot="1" x14ac:dyDescent="0.3">
      <c r="B546" s="1204"/>
      <c r="C546" s="1192"/>
      <c r="D546" s="555"/>
      <c r="E546" s="1199"/>
      <c r="F546" s="1201"/>
      <c r="G546" s="1201"/>
      <c r="H546" s="1209"/>
      <c r="I546" s="1199"/>
      <c r="J546" s="1204"/>
      <c r="K546" s="1199"/>
      <c r="L546" s="1199"/>
      <c r="M546" s="636" t="s">
        <v>123</v>
      </c>
      <c r="N546" s="549"/>
      <c r="O546" s="551">
        <v>0</v>
      </c>
      <c r="P546" s="551">
        <v>0</v>
      </c>
      <c r="Q546" s="552">
        <v>0</v>
      </c>
    </row>
    <row r="547" spans="2:22" s="48" customFormat="1" ht="22.5" customHeight="1" thickBot="1" x14ac:dyDescent="0.3">
      <c r="B547" s="1204"/>
      <c r="C547" s="1192"/>
      <c r="D547" s="555"/>
      <c r="E547" s="1199"/>
      <c r="F547" s="1201"/>
      <c r="G547" s="1201"/>
      <c r="H547" s="1209"/>
      <c r="I547" s="1199"/>
      <c r="J547" s="1204"/>
      <c r="K547" s="1199"/>
      <c r="L547" s="1199"/>
      <c r="M547" s="672" t="s">
        <v>124</v>
      </c>
      <c r="N547" s="550"/>
      <c r="O547" s="544">
        <v>0</v>
      </c>
      <c r="P547" s="544">
        <v>500</v>
      </c>
      <c r="Q547" s="675">
        <v>0</v>
      </c>
    </row>
    <row r="548" spans="2:22" s="48" customFormat="1" ht="22.5" customHeight="1" thickBot="1" x14ac:dyDescent="0.3">
      <c r="B548" s="1205"/>
      <c r="C548" s="1216"/>
      <c r="D548" s="558"/>
      <c r="E548" s="1208"/>
      <c r="F548" s="1202"/>
      <c r="G548" s="1202"/>
      <c r="H548" s="1210"/>
      <c r="I548" s="1208"/>
      <c r="J548" s="1205"/>
      <c r="K548" s="1208"/>
      <c r="L548" s="1208"/>
      <c r="M548" s="547" t="s">
        <v>745</v>
      </c>
      <c r="N548" s="549"/>
      <c r="O548" s="551">
        <v>0</v>
      </c>
      <c r="P548" s="551">
        <v>0</v>
      </c>
      <c r="Q548" s="552">
        <v>0</v>
      </c>
    </row>
    <row r="549" spans="2:22" s="48" customFormat="1" ht="22.5" customHeight="1" thickBot="1" x14ac:dyDescent="0.3">
      <c r="B549" s="1204" t="s">
        <v>172</v>
      </c>
      <c r="C549" s="1192" t="s">
        <v>291</v>
      </c>
      <c r="D549" s="682" t="s">
        <v>450</v>
      </c>
      <c r="E549" s="1199" t="s">
        <v>449</v>
      </c>
      <c r="F549" s="1201" t="s">
        <v>839</v>
      </c>
      <c r="G549" s="1201" t="s">
        <v>190</v>
      </c>
      <c r="H549" s="1209" t="s">
        <v>240</v>
      </c>
      <c r="I549" s="1199" t="s">
        <v>199</v>
      </c>
      <c r="J549" s="1204" t="s">
        <v>528</v>
      </c>
      <c r="K549" s="1199" t="s">
        <v>199</v>
      </c>
      <c r="L549" s="1199" t="s">
        <v>199</v>
      </c>
      <c r="M549" s="672" t="s">
        <v>122</v>
      </c>
      <c r="N549" s="550"/>
      <c r="O549" s="561">
        <f>O550+O551</f>
        <v>0</v>
      </c>
      <c r="P549" s="561">
        <f>P550+P551</f>
        <v>0</v>
      </c>
      <c r="Q549" s="562">
        <f>Q550+Q551</f>
        <v>3450</v>
      </c>
    </row>
    <row r="550" spans="2:22" s="48" customFormat="1" ht="22.5" customHeight="1" thickBot="1" x14ac:dyDescent="0.3">
      <c r="B550" s="1204"/>
      <c r="C550" s="1192"/>
      <c r="D550" s="555"/>
      <c r="E550" s="1199"/>
      <c r="F550" s="1201"/>
      <c r="G550" s="1201"/>
      <c r="H550" s="1209"/>
      <c r="I550" s="1199"/>
      <c r="J550" s="1204"/>
      <c r="K550" s="1199"/>
      <c r="L550" s="1199"/>
      <c r="M550" s="636" t="s">
        <v>123</v>
      </c>
      <c r="N550" s="549"/>
      <c r="O550" s="544">
        <v>0</v>
      </c>
      <c r="P550" s="544">
        <v>0</v>
      </c>
      <c r="Q550" s="675">
        <v>0</v>
      </c>
    </row>
    <row r="551" spans="2:22" s="48" customFormat="1" ht="22.5" customHeight="1" thickBot="1" x14ac:dyDescent="0.3">
      <c r="B551" s="1204"/>
      <c r="C551" s="1192"/>
      <c r="D551" s="555"/>
      <c r="E551" s="1199"/>
      <c r="F551" s="1201"/>
      <c r="G551" s="1201"/>
      <c r="H551" s="1209"/>
      <c r="I551" s="1199"/>
      <c r="J551" s="1204"/>
      <c r="K551" s="1199"/>
      <c r="L551" s="1199"/>
      <c r="M551" s="672" t="s">
        <v>124</v>
      </c>
      <c r="N551" s="550"/>
      <c r="O551" s="544">
        <v>0</v>
      </c>
      <c r="P551" s="544">
        <v>0</v>
      </c>
      <c r="Q551" s="675">
        <v>3450</v>
      </c>
    </row>
    <row r="552" spans="2:22" s="48" customFormat="1" ht="22.5" customHeight="1" thickBot="1" x14ac:dyDescent="0.3">
      <c r="B552" s="1204"/>
      <c r="C552" s="1192"/>
      <c r="D552" s="680"/>
      <c r="E552" s="1199"/>
      <c r="F552" s="1201"/>
      <c r="G552" s="1201"/>
      <c r="H552" s="1209"/>
      <c r="I552" s="1199"/>
      <c r="J552" s="1204"/>
      <c r="K552" s="1199"/>
      <c r="L552" s="1199"/>
      <c r="M552" s="671" t="s">
        <v>745</v>
      </c>
      <c r="N552" s="543"/>
      <c r="O552" s="544">
        <v>0</v>
      </c>
      <c r="P552" s="544">
        <v>0</v>
      </c>
      <c r="Q552" s="675">
        <v>0</v>
      </c>
    </row>
    <row r="553" spans="2:22" ht="26.25" customHeight="1" thickBot="1" x14ac:dyDescent="0.3">
      <c r="B553" s="1206" t="s">
        <v>172</v>
      </c>
      <c r="C553" s="1215" t="s">
        <v>295</v>
      </c>
      <c r="D553" s="620" t="s">
        <v>116</v>
      </c>
      <c r="E553" s="1207" t="s">
        <v>116</v>
      </c>
      <c r="F553" s="1200" t="s">
        <v>280</v>
      </c>
      <c r="G553" s="1207" t="s">
        <v>116</v>
      </c>
      <c r="H553" s="1207" t="s">
        <v>116</v>
      </c>
      <c r="I553" s="1207" t="s">
        <v>116</v>
      </c>
      <c r="J553" s="1206" t="s">
        <v>116</v>
      </c>
      <c r="K553" s="1207" t="s">
        <v>199</v>
      </c>
      <c r="L553" s="1207" t="s">
        <v>199</v>
      </c>
      <c r="M553" s="542" t="s">
        <v>122</v>
      </c>
      <c r="N553" s="543"/>
      <c r="O553" s="544">
        <f t="shared" ref="O553:Q556" si="12">O557+O561+O565+O569</f>
        <v>0</v>
      </c>
      <c r="P553" s="544">
        <f t="shared" si="12"/>
        <v>1489.45</v>
      </c>
      <c r="Q553" s="675">
        <f t="shared" si="12"/>
        <v>0</v>
      </c>
      <c r="R553" s="48"/>
      <c r="S553" s="48"/>
      <c r="T553" s="48"/>
      <c r="U553" s="48"/>
      <c r="V553" s="48"/>
    </row>
    <row r="554" spans="2:22" ht="23.25" customHeight="1" thickBot="1" x14ac:dyDescent="0.3">
      <c r="B554" s="1204"/>
      <c r="C554" s="1192"/>
      <c r="D554" s="555"/>
      <c r="E554" s="1199"/>
      <c r="F554" s="1201"/>
      <c r="G554" s="1199"/>
      <c r="H554" s="1199"/>
      <c r="I554" s="1199"/>
      <c r="J554" s="1204"/>
      <c r="K554" s="1199"/>
      <c r="L554" s="1199"/>
      <c r="M554" s="636" t="s">
        <v>123</v>
      </c>
      <c r="N554" s="549"/>
      <c r="O554" s="544">
        <f t="shared" si="12"/>
        <v>0</v>
      </c>
      <c r="P554" s="544">
        <f t="shared" si="12"/>
        <v>0</v>
      </c>
      <c r="Q554" s="675">
        <f t="shared" si="12"/>
        <v>0</v>
      </c>
      <c r="R554" s="48"/>
      <c r="S554" s="48"/>
      <c r="T554" s="48"/>
      <c r="U554" s="48"/>
      <c r="V554" s="48"/>
    </row>
    <row r="555" spans="2:22" ht="21.75" customHeight="1" thickBot="1" x14ac:dyDescent="0.3">
      <c r="B555" s="1204"/>
      <c r="C555" s="1192"/>
      <c r="D555" s="555"/>
      <c r="E555" s="1199"/>
      <c r="F555" s="1201"/>
      <c r="G555" s="1199"/>
      <c r="H555" s="1199"/>
      <c r="I555" s="1199"/>
      <c r="J555" s="1204"/>
      <c r="K555" s="1199"/>
      <c r="L555" s="1199"/>
      <c r="M555" s="672" t="s">
        <v>124</v>
      </c>
      <c r="N555" s="550"/>
      <c r="O555" s="544">
        <f t="shared" si="12"/>
        <v>0</v>
      </c>
      <c r="P555" s="544">
        <f t="shared" si="12"/>
        <v>1489.45</v>
      </c>
      <c r="Q555" s="675">
        <f t="shared" si="12"/>
        <v>0</v>
      </c>
      <c r="R555" s="48"/>
      <c r="S555" s="48"/>
      <c r="T555" s="48"/>
      <c r="U555" s="48"/>
      <c r="V555" s="48"/>
    </row>
    <row r="556" spans="2:22" ht="20.25" customHeight="1" thickBot="1" x14ac:dyDescent="0.3">
      <c r="B556" s="1205"/>
      <c r="C556" s="1216"/>
      <c r="D556" s="558"/>
      <c r="E556" s="1208"/>
      <c r="F556" s="1202"/>
      <c r="G556" s="1208"/>
      <c r="H556" s="1208"/>
      <c r="I556" s="1208"/>
      <c r="J556" s="1205"/>
      <c r="K556" s="1208"/>
      <c r="L556" s="1208"/>
      <c r="M556" s="547" t="s">
        <v>745</v>
      </c>
      <c r="N556" s="549"/>
      <c r="O556" s="551">
        <f t="shared" si="12"/>
        <v>19503.777999999998</v>
      </c>
      <c r="P556" s="551">
        <f t="shared" si="12"/>
        <v>0</v>
      </c>
      <c r="Q556" s="552">
        <f t="shared" si="12"/>
        <v>0</v>
      </c>
      <c r="R556" s="48"/>
      <c r="S556" s="48"/>
      <c r="T556" s="48"/>
      <c r="U556" s="48"/>
      <c r="V556" s="48"/>
    </row>
    <row r="557" spans="2:22" ht="71.25" customHeight="1" thickBot="1" x14ac:dyDescent="0.3">
      <c r="B557" s="1204" t="s">
        <v>172</v>
      </c>
      <c r="C557" s="1192" t="s">
        <v>295</v>
      </c>
      <c r="D557" s="682" t="s">
        <v>533</v>
      </c>
      <c r="E557" s="1199" t="s">
        <v>411</v>
      </c>
      <c r="F557" s="1201" t="s">
        <v>410</v>
      </c>
      <c r="G557" s="1201" t="s">
        <v>412</v>
      </c>
      <c r="H557" s="1199" t="s">
        <v>240</v>
      </c>
      <c r="I557" s="1199">
        <v>2</v>
      </c>
      <c r="J557" s="1204" t="s">
        <v>462</v>
      </c>
      <c r="K557" s="1199" t="s">
        <v>199</v>
      </c>
      <c r="L557" s="1199" t="s">
        <v>199</v>
      </c>
      <c r="M557" s="672" t="s">
        <v>122</v>
      </c>
      <c r="N557" s="550"/>
      <c r="O557" s="561">
        <f>O558+O559</f>
        <v>0</v>
      </c>
      <c r="P557" s="561">
        <f>P558+P559</f>
        <v>0</v>
      </c>
      <c r="Q557" s="562">
        <f>Q558+Q559</f>
        <v>0</v>
      </c>
      <c r="R557" s="48"/>
      <c r="S557" s="48"/>
      <c r="T557" s="48"/>
      <c r="U557" s="48"/>
      <c r="V557" s="48"/>
    </row>
    <row r="558" spans="2:22" ht="23.25" customHeight="1" thickBot="1" x14ac:dyDescent="0.3">
      <c r="B558" s="1204"/>
      <c r="C558" s="1192"/>
      <c r="D558" s="555"/>
      <c r="E558" s="1199"/>
      <c r="F558" s="1201"/>
      <c r="G558" s="1201"/>
      <c r="H558" s="1199"/>
      <c r="I558" s="1199"/>
      <c r="J558" s="1204"/>
      <c r="K558" s="1199"/>
      <c r="L558" s="1199"/>
      <c r="M558" s="636" t="s">
        <v>123</v>
      </c>
      <c r="N558" s="549"/>
      <c r="O558" s="544">
        <v>0</v>
      </c>
      <c r="P558" s="544">
        <v>0</v>
      </c>
      <c r="Q558" s="675">
        <v>0</v>
      </c>
      <c r="R558" s="48"/>
      <c r="S558" s="48"/>
      <c r="T558" s="48"/>
      <c r="U558" s="48"/>
      <c r="V558" s="48"/>
    </row>
    <row r="559" spans="2:22" ht="25.5" customHeight="1" thickBot="1" x14ac:dyDescent="0.3">
      <c r="B559" s="1204"/>
      <c r="C559" s="1192"/>
      <c r="D559" s="555"/>
      <c r="E559" s="1199"/>
      <c r="F559" s="1201"/>
      <c r="G559" s="1201"/>
      <c r="H559" s="1199"/>
      <c r="I559" s="1199"/>
      <c r="J559" s="1204"/>
      <c r="K559" s="1199"/>
      <c r="L559" s="1199"/>
      <c r="M559" s="672" t="s">
        <v>124</v>
      </c>
      <c r="N559" s="550"/>
      <c r="O559" s="544">
        <v>0</v>
      </c>
      <c r="P559" s="544">
        <v>0</v>
      </c>
      <c r="Q559" s="675">
        <v>0</v>
      </c>
      <c r="R559" s="48"/>
      <c r="S559" s="48"/>
      <c r="T559" s="48"/>
      <c r="U559" s="48"/>
      <c r="V559" s="48"/>
    </row>
    <row r="560" spans="2:22" ht="25.5" customHeight="1" thickBot="1" x14ac:dyDescent="0.3">
      <c r="B560" s="1204"/>
      <c r="C560" s="1192"/>
      <c r="D560" s="680"/>
      <c r="E560" s="1199"/>
      <c r="F560" s="1201"/>
      <c r="G560" s="1201"/>
      <c r="H560" s="1199"/>
      <c r="I560" s="1199"/>
      <c r="J560" s="1204"/>
      <c r="K560" s="1199"/>
      <c r="L560" s="1199"/>
      <c r="M560" s="671" t="s">
        <v>745</v>
      </c>
      <c r="N560" s="543"/>
      <c r="O560" s="544">
        <v>19224.477999999999</v>
      </c>
      <c r="P560" s="544">
        <v>0</v>
      </c>
      <c r="Q560" s="675">
        <v>0</v>
      </c>
      <c r="R560" s="48"/>
      <c r="S560" s="48"/>
      <c r="T560" s="48"/>
      <c r="U560" s="48"/>
      <c r="V560" s="48"/>
    </row>
    <row r="561" spans="2:22" ht="26.25" customHeight="1" thickBot="1" x14ac:dyDescent="0.3">
      <c r="B561" s="1206" t="s">
        <v>172</v>
      </c>
      <c r="C561" s="1215" t="s">
        <v>295</v>
      </c>
      <c r="D561" s="694">
        <v>27302165</v>
      </c>
      <c r="E561" s="1207" t="s">
        <v>422</v>
      </c>
      <c r="F561" s="1200" t="s">
        <v>765</v>
      </c>
      <c r="G561" s="1200" t="s">
        <v>764</v>
      </c>
      <c r="H561" s="1207" t="s">
        <v>240</v>
      </c>
      <c r="I561" s="1207">
        <v>1</v>
      </c>
      <c r="J561" s="1206" t="s">
        <v>462</v>
      </c>
      <c r="K561" s="1207" t="s">
        <v>199</v>
      </c>
      <c r="L561" s="1207" t="s">
        <v>199</v>
      </c>
      <c r="M561" s="542" t="s">
        <v>122</v>
      </c>
      <c r="N561" s="543"/>
      <c r="O561" s="544">
        <f>O562+O563</f>
        <v>0</v>
      </c>
      <c r="P561" s="544">
        <f>P562+P563</f>
        <v>0</v>
      </c>
      <c r="Q561" s="675">
        <f>Q562+Q563</f>
        <v>0</v>
      </c>
      <c r="R561" s="48"/>
      <c r="S561" s="48"/>
      <c r="T561" s="48"/>
      <c r="U561" s="48"/>
      <c r="V561" s="48"/>
    </row>
    <row r="562" spans="2:22" ht="23.25" customHeight="1" thickBot="1" x14ac:dyDescent="0.3">
      <c r="B562" s="1204"/>
      <c r="C562" s="1192"/>
      <c r="D562" s="680"/>
      <c r="E562" s="1199"/>
      <c r="F562" s="1201"/>
      <c r="G562" s="1201"/>
      <c r="H562" s="1199"/>
      <c r="I562" s="1199"/>
      <c r="J562" s="1204"/>
      <c r="K562" s="1199"/>
      <c r="L562" s="1199"/>
      <c r="M562" s="636" t="s">
        <v>123</v>
      </c>
      <c r="N562" s="549"/>
      <c r="O562" s="544">
        <v>0</v>
      </c>
      <c r="P562" s="544">
        <v>0</v>
      </c>
      <c r="Q562" s="675">
        <v>0</v>
      </c>
      <c r="R562" s="48"/>
      <c r="S562" s="48"/>
      <c r="T562" s="48"/>
      <c r="U562" s="48"/>
      <c r="V562" s="48"/>
    </row>
    <row r="563" spans="2:22" ht="25.5" customHeight="1" thickBot="1" x14ac:dyDescent="0.3">
      <c r="B563" s="1204"/>
      <c r="C563" s="1192"/>
      <c r="D563" s="680"/>
      <c r="E563" s="1199"/>
      <c r="F563" s="1201"/>
      <c r="G563" s="1201"/>
      <c r="H563" s="1199"/>
      <c r="I563" s="1199"/>
      <c r="J563" s="1204"/>
      <c r="K563" s="1199"/>
      <c r="L563" s="1199"/>
      <c r="M563" s="672" t="s">
        <v>124</v>
      </c>
      <c r="N563" s="550"/>
      <c r="O563" s="544">
        <v>0</v>
      </c>
      <c r="P563" s="544">
        <v>0</v>
      </c>
      <c r="Q563" s="675">
        <v>0</v>
      </c>
      <c r="R563" s="48"/>
      <c r="S563" s="48"/>
      <c r="T563" s="48"/>
      <c r="U563" s="48"/>
      <c r="V563" s="48"/>
    </row>
    <row r="564" spans="2:22" ht="28.5" customHeight="1" thickBot="1" x14ac:dyDescent="0.3">
      <c r="B564" s="1205"/>
      <c r="C564" s="1216"/>
      <c r="D564" s="558"/>
      <c r="E564" s="1208"/>
      <c r="F564" s="1202"/>
      <c r="G564" s="1202"/>
      <c r="H564" s="1208"/>
      <c r="I564" s="1208"/>
      <c r="J564" s="1205"/>
      <c r="K564" s="1208"/>
      <c r="L564" s="1208"/>
      <c r="M564" s="547" t="s">
        <v>745</v>
      </c>
      <c r="N564" s="549"/>
      <c r="O564" s="551">
        <v>279.3</v>
      </c>
      <c r="P564" s="551">
        <v>0</v>
      </c>
      <c r="Q564" s="552">
        <v>0</v>
      </c>
      <c r="R564" s="48"/>
      <c r="S564" s="48"/>
      <c r="T564" s="48"/>
      <c r="U564" s="48"/>
      <c r="V564" s="48"/>
    </row>
    <row r="565" spans="2:22" ht="31.5" customHeight="1" thickBot="1" x14ac:dyDescent="0.3">
      <c r="B565" s="1204" t="s">
        <v>172</v>
      </c>
      <c r="C565" s="1192" t="s">
        <v>295</v>
      </c>
      <c r="D565" s="673">
        <v>27302165</v>
      </c>
      <c r="E565" s="1199" t="s">
        <v>422</v>
      </c>
      <c r="F565" s="1201" t="s">
        <v>445</v>
      </c>
      <c r="G565" s="1201" t="s">
        <v>813</v>
      </c>
      <c r="H565" s="1209" t="s">
        <v>240</v>
      </c>
      <c r="I565" s="1199">
        <v>10</v>
      </c>
      <c r="J565" s="1204" t="s">
        <v>462</v>
      </c>
      <c r="K565" s="1199" t="s">
        <v>199</v>
      </c>
      <c r="L565" s="1199" t="s">
        <v>199</v>
      </c>
      <c r="M565" s="672" t="s">
        <v>122</v>
      </c>
      <c r="N565" s="550"/>
      <c r="O565" s="561">
        <f>O566+O567</f>
        <v>0</v>
      </c>
      <c r="P565" s="561">
        <f>P566+P567</f>
        <v>1239.45</v>
      </c>
      <c r="Q565" s="562">
        <f>Q566+Q567</f>
        <v>0</v>
      </c>
      <c r="R565" s="48"/>
      <c r="S565" s="48"/>
      <c r="T565" s="48"/>
      <c r="U565" s="48"/>
      <c r="V565" s="48"/>
    </row>
    <row r="566" spans="2:22" ht="27" customHeight="1" thickBot="1" x14ac:dyDescent="0.3">
      <c r="B566" s="1204"/>
      <c r="C566" s="1192"/>
      <c r="D566" s="680"/>
      <c r="E566" s="1199"/>
      <c r="F566" s="1201"/>
      <c r="G566" s="1201"/>
      <c r="H566" s="1209"/>
      <c r="I566" s="1199"/>
      <c r="J566" s="1204"/>
      <c r="K566" s="1199"/>
      <c r="L566" s="1199"/>
      <c r="M566" s="636" t="s">
        <v>123</v>
      </c>
      <c r="N566" s="549"/>
      <c r="O566" s="544">
        <v>0</v>
      </c>
      <c r="P566" s="544">
        <v>0</v>
      </c>
      <c r="Q566" s="675">
        <v>0</v>
      </c>
      <c r="R566" s="48"/>
      <c r="S566" s="48"/>
      <c r="T566" s="48"/>
      <c r="U566" s="48"/>
      <c r="V566" s="48"/>
    </row>
    <row r="567" spans="2:22" ht="28.5" customHeight="1" thickBot="1" x14ac:dyDescent="0.3">
      <c r="B567" s="1204"/>
      <c r="C567" s="1192"/>
      <c r="D567" s="680"/>
      <c r="E567" s="1199"/>
      <c r="F567" s="1201"/>
      <c r="G567" s="1201"/>
      <c r="H567" s="1209"/>
      <c r="I567" s="1199"/>
      <c r="J567" s="1204"/>
      <c r="K567" s="1199"/>
      <c r="L567" s="1199"/>
      <c r="M567" s="672" t="s">
        <v>124</v>
      </c>
      <c r="N567" s="550"/>
      <c r="O567" s="544">
        <v>0</v>
      </c>
      <c r="P567" s="544">
        <v>1239.45</v>
      </c>
      <c r="Q567" s="675">
        <v>0</v>
      </c>
      <c r="R567" s="48"/>
      <c r="S567" s="48"/>
      <c r="T567" s="48"/>
      <c r="U567" s="48"/>
      <c r="V567" s="48"/>
    </row>
    <row r="568" spans="2:22" ht="25.5" customHeight="1" thickBot="1" x14ac:dyDescent="0.3">
      <c r="B568" s="1204"/>
      <c r="C568" s="1192"/>
      <c r="D568" s="680"/>
      <c r="E568" s="1199"/>
      <c r="F568" s="1201"/>
      <c r="G568" s="1201"/>
      <c r="H568" s="1209"/>
      <c r="I568" s="1199"/>
      <c r="J568" s="1204"/>
      <c r="K568" s="1199"/>
      <c r="L568" s="1199"/>
      <c r="M568" s="671" t="s">
        <v>745</v>
      </c>
      <c r="N568" s="543"/>
      <c r="O568" s="544">
        <v>0</v>
      </c>
      <c r="P568" s="544">
        <v>0</v>
      </c>
      <c r="Q568" s="675">
        <v>0</v>
      </c>
      <c r="R568" s="48"/>
      <c r="S568" s="48"/>
      <c r="T568" s="48"/>
      <c r="U568" s="48"/>
      <c r="V568" s="48"/>
    </row>
    <row r="569" spans="2:22" ht="26.25" customHeight="1" thickBot="1" x14ac:dyDescent="0.3">
      <c r="B569" s="1206" t="s">
        <v>172</v>
      </c>
      <c r="C569" s="1215" t="s">
        <v>295</v>
      </c>
      <c r="D569" s="694">
        <v>27301829</v>
      </c>
      <c r="E569" s="1207" t="s">
        <v>426</v>
      </c>
      <c r="F569" s="1200" t="s">
        <v>445</v>
      </c>
      <c r="G569" s="1200" t="s">
        <v>813</v>
      </c>
      <c r="H569" s="1232" t="s">
        <v>240</v>
      </c>
      <c r="I569" s="1207">
        <v>3</v>
      </c>
      <c r="J569" s="1206" t="s">
        <v>462</v>
      </c>
      <c r="K569" s="1207" t="s">
        <v>199</v>
      </c>
      <c r="L569" s="1207" t="s">
        <v>199</v>
      </c>
      <c r="M569" s="542" t="s">
        <v>122</v>
      </c>
      <c r="N569" s="543"/>
      <c r="O569" s="544">
        <f>O570+O571</f>
        <v>0</v>
      </c>
      <c r="P569" s="544">
        <f>P570+P571</f>
        <v>250</v>
      </c>
      <c r="Q569" s="675">
        <f>Q570+Q571</f>
        <v>0</v>
      </c>
      <c r="R569" s="48"/>
      <c r="S569" s="48"/>
      <c r="T569" s="48"/>
      <c r="U569" s="48"/>
      <c r="V569" s="48"/>
    </row>
    <row r="570" spans="2:22" ht="24" customHeight="1" thickBot="1" x14ac:dyDescent="0.3">
      <c r="B570" s="1204"/>
      <c r="C570" s="1192"/>
      <c r="D570" s="680"/>
      <c r="E570" s="1199"/>
      <c r="F570" s="1201"/>
      <c r="G570" s="1201"/>
      <c r="H570" s="1209"/>
      <c r="I570" s="1199"/>
      <c r="J570" s="1204"/>
      <c r="K570" s="1199"/>
      <c r="L570" s="1199"/>
      <c r="M570" s="636" t="s">
        <v>123</v>
      </c>
      <c r="N570" s="549"/>
      <c r="O570" s="544">
        <v>0</v>
      </c>
      <c r="P570" s="544">
        <v>0</v>
      </c>
      <c r="Q570" s="675">
        <v>0</v>
      </c>
      <c r="R570" s="48"/>
      <c r="S570" s="48"/>
      <c r="T570" s="48"/>
      <c r="U570" s="48"/>
      <c r="V570" s="48"/>
    </row>
    <row r="571" spans="2:22" ht="24" customHeight="1" thickBot="1" x14ac:dyDescent="0.3">
      <c r="B571" s="1204"/>
      <c r="C571" s="1192"/>
      <c r="D571" s="680"/>
      <c r="E571" s="1199"/>
      <c r="F571" s="1201"/>
      <c r="G571" s="1201"/>
      <c r="H571" s="1209"/>
      <c r="I571" s="1199"/>
      <c r="J571" s="1204"/>
      <c r="K571" s="1199"/>
      <c r="L571" s="1199"/>
      <c r="M571" s="672" t="s">
        <v>124</v>
      </c>
      <c r="N571" s="550"/>
      <c r="O571" s="544">
        <v>0</v>
      </c>
      <c r="P571" s="544">
        <v>250</v>
      </c>
      <c r="Q571" s="675">
        <v>0</v>
      </c>
      <c r="R571" s="48"/>
      <c r="S571" s="48"/>
      <c r="T571" s="48"/>
      <c r="U571" s="48"/>
      <c r="V571" s="48"/>
    </row>
    <row r="572" spans="2:22" ht="25.5" customHeight="1" thickBot="1" x14ac:dyDescent="0.3">
      <c r="B572" s="1205"/>
      <c r="C572" s="1216"/>
      <c r="D572" s="558"/>
      <c r="E572" s="1208"/>
      <c r="F572" s="1202"/>
      <c r="G572" s="1202"/>
      <c r="H572" s="1210"/>
      <c r="I572" s="1208"/>
      <c r="J572" s="1205"/>
      <c r="K572" s="1208"/>
      <c r="L572" s="1208"/>
      <c r="M572" s="547" t="s">
        <v>745</v>
      </c>
      <c r="N572" s="549"/>
      <c r="O572" s="551">
        <v>0</v>
      </c>
      <c r="P572" s="551">
        <v>0</v>
      </c>
      <c r="Q572" s="552">
        <v>0</v>
      </c>
      <c r="R572" s="48"/>
      <c r="S572" s="48"/>
      <c r="T572" s="48"/>
      <c r="U572" s="48"/>
      <c r="V572" s="48"/>
    </row>
    <row r="573" spans="2:22" ht="36.75" customHeight="1" thickBot="1" x14ac:dyDescent="0.3">
      <c r="B573" s="1206" t="s">
        <v>173</v>
      </c>
      <c r="C573" s="1242">
        <v>40404</v>
      </c>
      <c r="D573" s="1207" t="s">
        <v>116</v>
      </c>
      <c r="E573" s="1207" t="s">
        <v>116</v>
      </c>
      <c r="F573" s="1229" t="s">
        <v>284</v>
      </c>
      <c r="G573" s="581" t="s">
        <v>221</v>
      </c>
      <c r="H573" s="654" t="s">
        <v>241</v>
      </c>
      <c r="I573" s="593" t="s">
        <v>806</v>
      </c>
      <c r="J573" s="1206" t="s">
        <v>462</v>
      </c>
      <c r="K573" s="593" t="s">
        <v>806</v>
      </c>
      <c r="L573" s="593" t="s">
        <v>806</v>
      </c>
      <c r="M573" s="542" t="s">
        <v>122</v>
      </c>
      <c r="N573" s="543"/>
      <c r="O573" s="544">
        <f t="shared" ref="O573:Q576" si="13">O578+O602+O611+O623+O659</f>
        <v>97656.173999999999</v>
      </c>
      <c r="P573" s="544">
        <f t="shared" si="13"/>
        <v>75834.870999999999</v>
      </c>
      <c r="Q573" s="675">
        <f t="shared" si="13"/>
        <v>75961.870999999999</v>
      </c>
      <c r="R573" s="48">
        <v>106457.427</v>
      </c>
      <c r="S573" s="48">
        <v>75834.870999999999</v>
      </c>
      <c r="T573" s="48">
        <v>75961.870999999999</v>
      </c>
      <c r="U573" s="48"/>
      <c r="V573" s="48"/>
    </row>
    <row r="574" spans="2:22" ht="49.5" customHeight="1" thickBot="1" x14ac:dyDescent="0.3">
      <c r="B574" s="1204"/>
      <c r="C574" s="1243"/>
      <c r="D574" s="1199"/>
      <c r="E574" s="1199"/>
      <c r="F574" s="1230"/>
      <c r="G574" s="576" t="s">
        <v>256</v>
      </c>
      <c r="H574" s="555" t="s">
        <v>241</v>
      </c>
      <c r="I574" s="594">
        <v>15333</v>
      </c>
      <c r="J574" s="1204"/>
      <c r="K574" s="594">
        <v>15333</v>
      </c>
      <c r="L574" s="594">
        <v>15333</v>
      </c>
      <c r="M574" s="636" t="s">
        <v>123</v>
      </c>
      <c r="N574" s="549"/>
      <c r="O574" s="544">
        <f t="shared" si="13"/>
        <v>0</v>
      </c>
      <c r="P574" s="544">
        <f t="shared" si="13"/>
        <v>0</v>
      </c>
      <c r="Q574" s="675">
        <f t="shared" si="13"/>
        <v>0</v>
      </c>
      <c r="R574" s="745">
        <f>R573-O573</f>
        <v>8801.252999999997</v>
      </c>
      <c r="S574" s="745">
        <f>S573-P573</f>
        <v>0</v>
      </c>
      <c r="T574" s="745">
        <f>T573-Q573</f>
        <v>0</v>
      </c>
      <c r="U574" s="48"/>
      <c r="V574" s="48"/>
    </row>
    <row r="575" spans="2:22" ht="36.75" customHeight="1" thickBot="1" x14ac:dyDescent="0.3">
      <c r="B575" s="1204"/>
      <c r="C575" s="1243"/>
      <c r="D575" s="1199"/>
      <c r="E575" s="1199"/>
      <c r="F575" s="1230"/>
      <c r="G575" s="576" t="s">
        <v>257</v>
      </c>
      <c r="H575" s="555" t="s">
        <v>242</v>
      </c>
      <c r="I575" s="594" t="s">
        <v>607</v>
      </c>
      <c r="J575" s="1204"/>
      <c r="K575" s="594" t="s">
        <v>607</v>
      </c>
      <c r="L575" s="594" t="s">
        <v>607</v>
      </c>
      <c r="M575" s="672" t="s">
        <v>124</v>
      </c>
      <c r="N575" s="550"/>
      <c r="O575" s="544">
        <f t="shared" si="13"/>
        <v>106457.43399999999</v>
      </c>
      <c r="P575" s="544">
        <f t="shared" si="13"/>
        <v>75834.870999999999</v>
      </c>
      <c r="Q575" s="552">
        <f t="shared" si="13"/>
        <v>75961.870999999999</v>
      </c>
      <c r="R575" s="48"/>
      <c r="S575" s="48"/>
      <c r="T575" s="48"/>
      <c r="U575" s="48"/>
      <c r="V575" s="48"/>
    </row>
    <row r="576" spans="2:22" ht="42" customHeight="1" thickBot="1" x14ac:dyDescent="0.3">
      <c r="B576" s="1204"/>
      <c r="C576" s="1243"/>
      <c r="D576" s="1199"/>
      <c r="E576" s="1199"/>
      <c r="F576" s="1230"/>
      <c r="G576" s="576" t="s">
        <v>254</v>
      </c>
      <c r="H576" s="555" t="s">
        <v>240</v>
      </c>
      <c r="I576" s="594">
        <v>1</v>
      </c>
      <c r="J576" s="1204"/>
      <c r="K576" s="594">
        <v>1</v>
      </c>
      <c r="L576" s="594">
        <v>1</v>
      </c>
      <c r="M576" s="547" t="s">
        <v>745</v>
      </c>
      <c r="N576" s="549"/>
      <c r="O576" s="551">
        <f t="shared" si="13"/>
        <v>36553.392</v>
      </c>
      <c r="P576" s="551">
        <f t="shared" si="13"/>
        <v>0</v>
      </c>
      <c r="Q576" s="552">
        <f t="shared" si="13"/>
        <v>0</v>
      </c>
      <c r="R576" s="48"/>
      <c r="S576" s="48"/>
      <c r="T576" s="48"/>
      <c r="U576" s="48"/>
      <c r="V576" s="48"/>
    </row>
    <row r="577" spans="2:22" ht="64.5" customHeight="1" thickBot="1" x14ac:dyDescent="0.3">
      <c r="B577" s="1205"/>
      <c r="C577" s="1244"/>
      <c r="D577" s="1208"/>
      <c r="E577" s="1208"/>
      <c r="F577" s="1231"/>
      <c r="G577" s="591" t="s">
        <v>527</v>
      </c>
      <c r="H577" s="558" t="s">
        <v>240</v>
      </c>
      <c r="I577" s="592">
        <v>1</v>
      </c>
      <c r="J577" s="1205"/>
      <c r="K577" s="592">
        <v>1</v>
      </c>
      <c r="L577" s="592">
        <v>1</v>
      </c>
      <c r="M577" s="642"/>
      <c r="N577" s="595"/>
      <c r="O577" s="554"/>
      <c r="P577" s="554"/>
      <c r="Q577" s="554"/>
      <c r="R577" s="48"/>
      <c r="S577" s="48"/>
      <c r="T577" s="48"/>
      <c r="U577" s="48"/>
      <c r="V577" s="48"/>
    </row>
    <row r="578" spans="2:22" ht="79.5" customHeight="1" thickBot="1" x14ac:dyDescent="0.3">
      <c r="B578" s="1204" t="s">
        <v>173</v>
      </c>
      <c r="C578" s="1199">
        <v>40404</v>
      </c>
      <c r="D578" s="689">
        <v>27300364</v>
      </c>
      <c r="E578" s="1199" t="s">
        <v>192</v>
      </c>
      <c r="F578" s="1233" t="s">
        <v>585</v>
      </c>
      <c r="G578" s="1201" t="s">
        <v>221</v>
      </c>
      <c r="H578" s="1204" t="s">
        <v>241</v>
      </c>
      <c r="I578" s="1199" t="s">
        <v>806</v>
      </c>
      <c r="J578" s="1204" t="s">
        <v>462</v>
      </c>
      <c r="K578" s="1199" t="s">
        <v>885</v>
      </c>
      <c r="L578" s="1199" t="s">
        <v>885</v>
      </c>
      <c r="M578" s="672" t="s">
        <v>122</v>
      </c>
      <c r="N578" s="550"/>
      <c r="O578" s="561">
        <f>O579+O580+O581</f>
        <v>2000</v>
      </c>
      <c r="P578" s="561">
        <f>P579+P580+P581</f>
        <v>2000</v>
      </c>
      <c r="Q578" s="562">
        <f>Q579+Q580+Q581</f>
        <v>2000</v>
      </c>
      <c r="R578" s="48"/>
      <c r="S578" s="48"/>
      <c r="T578" s="48"/>
      <c r="U578" s="48"/>
      <c r="V578" s="48"/>
    </row>
    <row r="579" spans="2:22" ht="21" customHeight="1" thickBot="1" x14ac:dyDescent="0.3">
      <c r="B579" s="1204"/>
      <c r="C579" s="1199"/>
      <c r="D579" s="609"/>
      <c r="E579" s="1199"/>
      <c r="F579" s="1233"/>
      <c r="G579" s="1201"/>
      <c r="H579" s="1204"/>
      <c r="I579" s="1199"/>
      <c r="J579" s="1204"/>
      <c r="K579" s="1199"/>
      <c r="L579" s="1199"/>
      <c r="M579" s="636" t="s">
        <v>123</v>
      </c>
      <c r="N579" s="549"/>
      <c r="O579" s="544">
        <v>0</v>
      </c>
      <c r="P579" s="544">
        <v>0</v>
      </c>
      <c r="Q579" s="675">
        <v>0</v>
      </c>
      <c r="R579" s="48"/>
      <c r="S579" s="48"/>
      <c r="T579" s="48"/>
      <c r="U579" s="48"/>
      <c r="V579" s="48"/>
    </row>
    <row r="580" spans="2:22" ht="20.25" customHeight="1" thickBot="1" x14ac:dyDescent="0.3">
      <c r="B580" s="1204"/>
      <c r="C580" s="1199"/>
      <c r="D580" s="609"/>
      <c r="E580" s="1199"/>
      <c r="F580" s="1233"/>
      <c r="G580" s="1201"/>
      <c r="H580" s="1204"/>
      <c r="I580" s="1199"/>
      <c r="J580" s="1204"/>
      <c r="K580" s="1199"/>
      <c r="L580" s="1199"/>
      <c r="M580" s="672" t="s">
        <v>124</v>
      </c>
      <c r="N580" s="550"/>
      <c r="O580" s="544">
        <f>O584+O588+O592+O596+O600</f>
        <v>2000</v>
      </c>
      <c r="P580" s="544">
        <f>P584+P588+P592+P596+P600</f>
        <v>2000</v>
      </c>
      <c r="Q580" s="675">
        <f>Q584+Q588+Q592+Q596+Q600</f>
        <v>2000</v>
      </c>
      <c r="R580" s="48"/>
      <c r="S580" s="48"/>
      <c r="T580" s="48"/>
      <c r="U580" s="48"/>
      <c r="V580" s="48"/>
    </row>
    <row r="581" spans="2:22" ht="18" customHeight="1" thickBot="1" x14ac:dyDescent="0.3">
      <c r="B581" s="1204"/>
      <c r="C581" s="1199"/>
      <c r="D581" s="688"/>
      <c r="E581" s="1199"/>
      <c r="F581" s="1233"/>
      <c r="G581" s="1201"/>
      <c r="H581" s="1204"/>
      <c r="I581" s="1199"/>
      <c r="J581" s="1204"/>
      <c r="K581" s="1199"/>
      <c r="L581" s="1199"/>
      <c r="M581" s="671" t="s">
        <v>745</v>
      </c>
      <c r="N581" s="543"/>
      <c r="O581" s="544">
        <v>0</v>
      </c>
      <c r="P581" s="544">
        <v>0</v>
      </c>
      <c r="Q581" s="675">
        <v>0</v>
      </c>
      <c r="R581" s="48"/>
      <c r="S581" s="48"/>
      <c r="T581" s="48"/>
      <c r="U581" s="48"/>
      <c r="V581" s="48"/>
    </row>
    <row r="582" spans="2:22" ht="23.25" customHeight="1" thickBot="1" x14ac:dyDescent="0.3">
      <c r="B582" s="1206" t="s">
        <v>173</v>
      </c>
      <c r="C582" s="1207">
        <v>40404</v>
      </c>
      <c r="D582" s="620">
        <v>27300364</v>
      </c>
      <c r="E582" s="1207" t="s">
        <v>192</v>
      </c>
      <c r="F582" s="1200" t="s">
        <v>309</v>
      </c>
      <c r="G582" s="1200" t="s">
        <v>221</v>
      </c>
      <c r="H582" s="1206" t="s">
        <v>241</v>
      </c>
      <c r="I582" s="1207" t="s">
        <v>884</v>
      </c>
      <c r="J582" s="1206" t="s">
        <v>462</v>
      </c>
      <c r="K582" s="1207" t="s">
        <v>884</v>
      </c>
      <c r="L582" s="1207" t="s">
        <v>884</v>
      </c>
      <c r="M582" s="542" t="s">
        <v>122</v>
      </c>
      <c r="N582" s="543"/>
      <c r="O582" s="544">
        <f>O583+O584+O585</f>
        <v>500</v>
      </c>
      <c r="P582" s="544">
        <f>P583+P584+P585</f>
        <v>500</v>
      </c>
      <c r="Q582" s="675">
        <f>Q583+Q584+Q585</f>
        <v>500</v>
      </c>
      <c r="R582" s="48"/>
      <c r="S582" s="48"/>
      <c r="T582" s="48"/>
      <c r="U582" s="48"/>
      <c r="V582" s="48"/>
    </row>
    <row r="583" spans="2:22" ht="22.5" customHeight="1" thickBot="1" x14ac:dyDescent="0.3">
      <c r="B583" s="1204"/>
      <c r="C583" s="1199"/>
      <c r="D583" s="609"/>
      <c r="E583" s="1199"/>
      <c r="F583" s="1201"/>
      <c r="G583" s="1201"/>
      <c r="H583" s="1204"/>
      <c r="I583" s="1199"/>
      <c r="J583" s="1204"/>
      <c r="K583" s="1199"/>
      <c r="L583" s="1199"/>
      <c r="M583" s="636" t="s">
        <v>123</v>
      </c>
      <c r="N583" s="549"/>
      <c r="O583" s="544">
        <v>0</v>
      </c>
      <c r="P583" s="544">
        <v>0</v>
      </c>
      <c r="Q583" s="675">
        <v>0</v>
      </c>
      <c r="R583" s="48"/>
      <c r="S583" s="48"/>
      <c r="T583" s="48"/>
      <c r="U583" s="48"/>
      <c r="V583" s="48"/>
    </row>
    <row r="584" spans="2:22" ht="22.5" customHeight="1" thickBot="1" x14ac:dyDescent="0.3">
      <c r="B584" s="1204"/>
      <c r="C584" s="1199"/>
      <c r="D584" s="609"/>
      <c r="E584" s="1199"/>
      <c r="F584" s="1201"/>
      <c r="G584" s="1201"/>
      <c r="H584" s="1204"/>
      <c r="I584" s="1199"/>
      <c r="J584" s="1204"/>
      <c r="K584" s="1199"/>
      <c r="L584" s="1199"/>
      <c r="M584" s="672" t="s">
        <v>124</v>
      </c>
      <c r="N584" s="550"/>
      <c r="O584" s="544">
        <v>500</v>
      </c>
      <c r="P584" s="544">
        <v>500</v>
      </c>
      <c r="Q584" s="675">
        <v>500</v>
      </c>
      <c r="R584" s="48"/>
      <c r="S584" s="48"/>
      <c r="T584" s="48"/>
      <c r="U584" s="48"/>
      <c r="V584" s="48"/>
    </row>
    <row r="585" spans="2:22" ht="26.25" customHeight="1" thickBot="1" x14ac:dyDescent="0.3">
      <c r="B585" s="1205"/>
      <c r="C585" s="1208"/>
      <c r="D585" s="628"/>
      <c r="E585" s="1208"/>
      <c r="F585" s="1202"/>
      <c r="G585" s="1202"/>
      <c r="H585" s="1205"/>
      <c r="I585" s="1208"/>
      <c r="J585" s="1205"/>
      <c r="K585" s="1208"/>
      <c r="L585" s="1208"/>
      <c r="M585" s="547" t="s">
        <v>745</v>
      </c>
      <c r="N585" s="549"/>
      <c r="O585" s="551">
        <v>0</v>
      </c>
      <c r="P585" s="551">
        <v>0</v>
      </c>
      <c r="Q585" s="552">
        <v>0</v>
      </c>
      <c r="R585" s="48"/>
      <c r="S585" s="48"/>
      <c r="T585" s="48"/>
      <c r="U585" s="48"/>
      <c r="V585" s="48"/>
    </row>
    <row r="586" spans="2:22" ht="21" customHeight="1" thickBot="1" x14ac:dyDescent="0.3">
      <c r="B586" s="1204" t="s">
        <v>173</v>
      </c>
      <c r="C586" s="1199">
        <v>40404</v>
      </c>
      <c r="D586" s="689">
        <v>27300364</v>
      </c>
      <c r="E586" s="1199" t="s">
        <v>192</v>
      </c>
      <c r="F586" s="1201" t="s">
        <v>323</v>
      </c>
      <c r="G586" s="1201" t="s">
        <v>221</v>
      </c>
      <c r="H586" s="1204" t="s">
        <v>241</v>
      </c>
      <c r="I586" s="1199" t="s">
        <v>809</v>
      </c>
      <c r="J586" s="1204" t="s">
        <v>462</v>
      </c>
      <c r="K586" s="1199" t="s">
        <v>809</v>
      </c>
      <c r="L586" s="1199" t="s">
        <v>809</v>
      </c>
      <c r="M586" s="672" t="s">
        <v>122</v>
      </c>
      <c r="N586" s="550"/>
      <c r="O586" s="561">
        <f>O587+O588+O589</f>
        <v>670</v>
      </c>
      <c r="P586" s="561">
        <f>P587+P588+P589</f>
        <v>670</v>
      </c>
      <c r="Q586" s="562">
        <f>Q587+Q588+Q589</f>
        <v>670</v>
      </c>
      <c r="R586" s="48"/>
      <c r="S586" s="48"/>
      <c r="T586" s="48"/>
      <c r="U586" s="48"/>
      <c r="V586" s="48"/>
    </row>
    <row r="587" spans="2:22" ht="24" customHeight="1" thickBot="1" x14ac:dyDescent="0.3">
      <c r="B587" s="1204"/>
      <c r="C587" s="1199"/>
      <c r="D587" s="609"/>
      <c r="E587" s="1199"/>
      <c r="F587" s="1201"/>
      <c r="G587" s="1201"/>
      <c r="H587" s="1204"/>
      <c r="I587" s="1199"/>
      <c r="J587" s="1204"/>
      <c r="K587" s="1199"/>
      <c r="L587" s="1199"/>
      <c r="M587" s="636" t="s">
        <v>123</v>
      </c>
      <c r="N587" s="549"/>
      <c r="O587" s="544">
        <v>0</v>
      </c>
      <c r="P587" s="544">
        <v>0</v>
      </c>
      <c r="Q587" s="675">
        <v>0</v>
      </c>
      <c r="R587" s="48"/>
      <c r="S587" s="48"/>
      <c r="T587" s="48"/>
      <c r="U587" s="48"/>
      <c r="V587" s="48"/>
    </row>
    <row r="588" spans="2:22" ht="20.25" customHeight="1" thickBot="1" x14ac:dyDescent="0.3">
      <c r="B588" s="1204"/>
      <c r="C588" s="1199"/>
      <c r="D588" s="609"/>
      <c r="E588" s="1199"/>
      <c r="F588" s="1201"/>
      <c r="G588" s="1201"/>
      <c r="H588" s="1204"/>
      <c r="I588" s="1199"/>
      <c r="J588" s="1204"/>
      <c r="K588" s="1199"/>
      <c r="L588" s="1199"/>
      <c r="M588" s="672" t="s">
        <v>124</v>
      </c>
      <c r="N588" s="550"/>
      <c r="O588" s="544">
        <v>670</v>
      </c>
      <c r="P588" s="544">
        <v>670</v>
      </c>
      <c r="Q588" s="675">
        <v>670</v>
      </c>
      <c r="R588" s="48"/>
      <c r="S588" s="48"/>
      <c r="T588" s="48"/>
      <c r="U588" s="48"/>
      <c r="V588" s="48"/>
    </row>
    <row r="589" spans="2:22" ht="20.25" customHeight="1" thickBot="1" x14ac:dyDescent="0.3">
      <c r="B589" s="1204"/>
      <c r="C589" s="1199"/>
      <c r="D589" s="688"/>
      <c r="E589" s="1199"/>
      <c r="F589" s="1201"/>
      <c r="G589" s="1201"/>
      <c r="H589" s="1204"/>
      <c r="I589" s="1199"/>
      <c r="J589" s="1204"/>
      <c r="K589" s="1199"/>
      <c r="L589" s="1199"/>
      <c r="M589" s="671" t="s">
        <v>745</v>
      </c>
      <c r="N589" s="543"/>
      <c r="O589" s="544">
        <v>0</v>
      </c>
      <c r="P589" s="544">
        <v>0</v>
      </c>
      <c r="Q589" s="675">
        <v>0</v>
      </c>
      <c r="R589" s="48"/>
      <c r="S589" s="48"/>
      <c r="T589" s="48"/>
      <c r="U589" s="48"/>
      <c r="V589" s="48"/>
    </row>
    <row r="590" spans="2:22" ht="22.5" customHeight="1" thickBot="1" x14ac:dyDescent="0.3">
      <c r="B590" s="1206" t="s">
        <v>173</v>
      </c>
      <c r="C590" s="1207">
        <v>40404</v>
      </c>
      <c r="D590" s="620">
        <v>27300364</v>
      </c>
      <c r="E590" s="1207" t="s">
        <v>192</v>
      </c>
      <c r="F590" s="1200" t="s">
        <v>325</v>
      </c>
      <c r="G590" s="1200" t="s">
        <v>221</v>
      </c>
      <c r="H590" s="1206" t="s">
        <v>241</v>
      </c>
      <c r="I590" s="1207" t="s">
        <v>883</v>
      </c>
      <c r="J590" s="1206" t="s">
        <v>462</v>
      </c>
      <c r="K590" s="1207" t="s">
        <v>883</v>
      </c>
      <c r="L590" s="1207" t="s">
        <v>883</v>
      </c>
      <c r="M590" s="542" t="s">
        <v>122</v>
      </c>
      <c r="N590" s="543"/>
      <c r="O590" s="544">
        <f>O591+O592+O593</f>
        <v>410</v>
      </c>
      <c r="P590" s="544">
        <f>P591+P592+P593</f>
        <v>410</v>
      </c>
      <c r="Q590" s="675">
        <f>Q591+Q592+Q593</f>
        <v>410</v>
      </c>
      <c r="R590" s="48"/>
      <c r="S590" s="48"/>
      <c r="T590" s="48"/>
      <c r="U590" s="48"/>
      <c r="V590" s="48"/>
    </row>
    <row r="591" spans="2:22" ht="18.75" customHeight="1" thickBot="1" x14ac:dyDescent="0.3">
      <c r="B591" s="1204"/>
      <c r="C591" s="1199"/>
      <c r="D591" s="609"/>
      <c r="E591" s="1199"/>
      <c r="F591" s="1201"/>
      <c r="G591" s="1201"/>
      <c r="H591" s="1204"/>
      <c r="I591" s="1199"/>
      <c r="J591" s="1204"/>
      <c r="K591" s="1199"/>
      <c r="L591" s="1199"/>
      <c r="M591" s="636" t="s">
        <v>123</v>
      </c>
      <c r="N591" s="549"/>
      <c r="O591" s="544">
        <v>0</v>
      </c>
      <c r="P591" s="544">
        <v>0</v>
      </c>
      <c r="Q591" s="675">
        <v>0</v>
      </c>
      <c r="R591" s="48"/>
      <c r="S591" s="48"/>
      <c r="T591" s="48"/>
      <c r="U591" s="48"/>
      <c r="V591" s="48"/>
    </row>
    <row r="592" spans="2:22" ht="21" customHeight="1" thickBot="1" x14ac:dyDescent="0.3">
      <c r="B592" s="1204"/>
      <c r="C592" s="1199"/>
      <c r="D592" s="609"/>
      <c r="E592" s="1199"/>
      <c r="F592" s="1201"/>
      <c r="G592" s="1201"/>
      <c r="H592" s="1204"/>
      <c r="I592" s="1199"/>
      <c r="J592" s="1204"/>
      <c r="K592" s="1199"/>
      <c r="L592" s="1199"/>
      <c r="M592" s="672" t="s">
        <v>124</v>
      </c>
      <c r="N592" s="550"/>
      <c r="O592" s="544">
        <v>410</v>
      </c>
      <c r="P592" s="544">
        <v>410</v>
      </c>
      <c r="Q592" s="675">
        <v>410</v>
      </c>
      <c r="R592" s="48"/>
      <c r="S592" s="48"/>
      <c r="T592" s="48"/>
      <c r="U592" s="48"/>
      <c r="V592" s="48"/>
    </row>
    <row r="593" spans="2:22" ht="21.75" customHeight="1" thickBot="1" x14ac:dyDescent="0.3">
      <c r="B593" s="1205"/>
      <c r="C593" s="1208"/>
      <c r="D593" s="628"/>
      <c r="E593" s="1208"/>
      <c r="F593" s="1202"/>
      <c r="G593" s="1202"/>
      <c r="H593" s="1205"/>
      <c r="I593" s="1208"/>
      <c r="J593" s="1205"/>
      <c r="K593" s="1208"/>
      <c r="L593" s="1208"/>
      <c r="M593" s="547" t="s">
        <v>745</v>
      </c>
      <c r="N593" s="549"/>
      <c r="O593" s="551">
        <v>0</v>
      </c>
      <c r="P593" s="551">
        <v>0</v>
      </c>
      <c r="Q593" s="552">
        <v>0</v>
      </c>
      <c r="R593" s="48"/>
      <c r="S593" s="48"/>
      <c r="T593" s="48"/>
      <c r="U593" s="48"/>
      <c r="V593" s="48"/>
    </row>
    <row r="594" spans="2:22" ht="24" customHeight="1" thickBot="1" x14ac:dyDescent="0.3">
      <c r="B594" s="1204" t="s">
        <v>173</v>
      </c>
      <c r="C594" s="1199">
        <v>40404</v>
      </c>
      <c r="D594" s="689">
        <v>27300364</v>
      </c>
      <c r="E594" s="1199" t="s">
        <v>192</v>
      </c>
      <c r="F594" s="1201" t="s">
        <v>341</v>
      </c>
      <c r="G594" s="1201" t="s">
        <v>221</v>
      </c>
      <c r="H594" s="1204" t="s">
        <v>241</v>
      </c>
      <c r="I594" s="1199" t="s">
        <v>811</v>
      </c>
      <c r="J594" s="1204" t="s">
        <v>462</v>
      </c>
      <c r="K594" s="1199" t="s">
        <v>811</v>
      </c>
      <c r="L594" s="1199" t="s">
        <v>811</v>
      </c>
      <c r="M594" s="672" t="s">
        <v>122</v>
      </c>
      <c r="N594" s="550"/>
      <c r="O594" s="561">
        <f>O595+O596+O597</f>
        <v>290</v>
      </c>
      <c r="P594" s="561">
        <f>P595+P596+P597</f>
        <v>290</v>
      </c>
      <c r="Q594" s="562">
        <f>Q595+Q596+Q597</f>
        <v>290</v>
      </c>
      <c r="R594" s="48"/>
      <c r="S594" s="48"/>
      <c r="T594" s="48"/>
      <c r="U594" s="48"/>
      <c r="V594" s="48"/>
    </row>
    <row r="595" spans="2:22" ht="27" customHeight="1" thickBot="1" x14ac:dyDescent="0.3">
      <c r="B595" s="1204"/>
      <c r="C595" s="1199"/>
      <c r="D595" s="609"/>
      <c r="E595" s="1199"/>
      <c r="F595" s="1201"/>
      <c r="G595" s="1201"/>
      <c r="H595" s="1204"/>
      <c r="I595" s="1199"/>
      <c r="J595" s="1204"/>
      <c r="K595" s="1199"/>
      <c r="L595" s="1199"/>
      <c r="M595" s="636" t="s">
        <v>123</v>
      </c>
      <c r="N595" s="549"/>
      <c r="O595" s="544">
        <v>0</v>
      </c>
      <c r="P595" s="544">
        <v>0</v>
      </c>
      <c r="Q595" s="675">
        <v>0</v>
      </c>
      <c r="R595" s="48"/>
      <c r="S595" s="48"/>
      <c r="T595" s="48"/>
      <c r="U595" s="48"/>
      <c r="V595" s="48"/>
    </row>
    <row r="596" spans="2:22" ht="21.75" customHeight="1" thickBot="1" x14ac:dyDescent="0.3">
      <c r="B596" s="1204"/>
      <c r="C596" s="1199"/>
      <c r="D596" s="609"/>
      <c r="E596" s="1199"/>
      <c r="F596" s="1201"/>
      <c r="G596" s="1201"/>
      <c r="H596" s="1204"/>
      <c r="I596" s="1199"/>
      <c r="J596" s="1204"/>
      <c r="K596" s="1199"/>
      <c r="L596" s="1199"/>
      <c r="M596" s="672" t="s">
        <v>124</v>
      </c>
      <c r="N596" s="550"/>
      <c r="O596" s="544">
        <v>290</v>
      </c>
      <c r="P596" s="544">
        <v>290</v>
      </c>
      <c r="Q596" s="675">
        <v>290</v>
      </c>
      <c r="R596" s="48"/>
      <c r="S596" s="48"/>
      <c r="T596" s="48"/>
      <c r="U596" s="48"/>
      <c r="V596" s="48"/>
    </row>
    <row r="597" spans="2:22" ht="21" customHeight="1" thickBot="1" x14ac:dyDescent="0.3">
      <c r="B597" s="1204"/>
      <c r="C597" s="1199"/>
      <c r="D597" s="688"/>
      <c r="E597" s="1199"/>
      <c r="F597" s="1201"/>
      <c r="G597" s="1201"/>
      <c r="H597" s="1204"/>
      <c r="I597" s="1199"/>
      <c r="J597" s="1204"/>
      <c r="K597" s="1199"/>
      <c r="L597" s="1199"/>
      <c r="M597" s="671" t="s">
        <v>745</v>
      </c>
      <c r="N597" s="543"/>
      <c r="O597" s="544">
        <v>0</v>
      </c>
      <c r="P597" s="544">
        <v>0</v>
      </c>
      <c r="Q597" s="675">
        <v>0</v>
      </c>
      <c r="R597" s="48"/>
      <c r="S597" s="48"/>
      <c r="T597" s="48"/>
      <c r="U597" s="48"/>
      <c r="V597" s="48"/>
    </row>
    <row r="598" spans="2:22" ht="21.75" customHeight="1" thickBot="1" x14ac:dyDescent="0.3">
      <c r="B598" s="1206" t="s">
        <v>173</v>
      </c>
      <c r="C598" s="1207">
        <v>40404</v>
      </c>
      <c r="D598" s="620">
        <v>27300364</v>
      </c>
      <c r="E598" s="1207" t="s">
        <v>192</v>
      </c>
      <c r="F598" s="1200" t="s">
        <v>807</v>
      </c>
      <c r="G598" s="1200" t="s">
        <v>221</v>
      </c>
      <c r="H598" s="1206" t="s">
        <v>241</v>
      </c>
      <c r="I598" s="1207" t="s">
        <v>332</v>
      </c>
      <c r="J598" s="1206" t="s">
        <v>462</v>
      </c>
      <c r="K598" s="1207" t="s">
        <v>332</v>
      </c>
      <c r="L598" s="1207" t="s">
        <v>332</v>
      </c>
      <c r="M598" s="542" t="s">
        <v>122</v>
      </c>
      <c r="N598" s="543"/>
      <c r="O598" s="544">
        <f>O599+O600+O601</f>
        <v>130</v>
      </c>
      <c r="P598" s="544">
        <f>P599+P600+P601</f>
        <v>130</v>
      </c>
      <c r="Q598" s="675">
        <f>Q599+Q600+Q601</f>
        <v>130</v>
      </c>
      <c r="R598" s="48"/>
      <c r="S598" s="48"/>
      <c r="T598" s="48"/>
      <c r="U598" s="48"/>
      <c r="V598" s="48"/>
    </row>
    <row r="599" spans="2:22" ht="21" customHeight="1" thickBot="1" x14ac:dyDescent="0.3">
      <c r="B599" s="1204"/>
      <c r="C599" s="1199"/>
      <c r="D599" s="609"/>
      <c r="E599" s="1199"/>
      <c r="F599" s="1201"/>
      <c r="G599" s="1201"/>
      <c r="H599" s="1204"/>
      <c r="I599" s="1199"/>
      <c r="J599" s="1204"/>
      <c r="K599" s="1199"/>
      <c r="L599" s="1199"/>
      <c r="M599" s="636" t="s">
        <v>123</v>
      </c>
      <c r="N599" s="549"/>
      <c r="O599" s="544">
        <v>0</v>
      </c>
      <c r="P599" s="544">
        <v>0</v>
      </c>
      <c r="Q599" s="675">
        <v>0</v>
      </c>
      <c r="R599" s="48"/>
      <c r="S599" s="48"/>
      <c r="T599" s="48"/>
      <c r="U599" s="48"/>
      <c r="V599" s="48"/>
    </row>
    <row r="600" spans="2:22" ht="18" customHeight="1" thickBot="1" x14ac:dyDescent="0.3">
      <c r="B600" s="1204"/>
      <c r="C600" s="1199"/>
      <c r="D600" s="609"/>
      <c r="E600" s="1199"/>
      <c r="F600" s="1201"/>
      <c r="G600" s="1201"/>
      <c r="H600" s="1204"/>
      <c r="I600" s="1199"/>
      <c r="J600" s="1204"/>
      <c r="K600" s="1199"/>
      <c r="L600" s="1199"/>
      <c r="M600" s="672" t="s">
        <v>124</v>
      </c>
      <c r="N600" s="550"/>
      <c r="O600" s="544">
        <v>130</v>
      </c>
      <c r="P600" s="544">
        <v>130</v>
      </c>
      <c r="Q600" s="675">
        <v>130</v>
      </c>
      <c r="R600" s="48"/>
      <c r="S600" s="48"/>
      <c r="T600" s="48"/>
      <c r="U600" s="48"/>
      <c r="V600" s="48"/>
    </row>
    <row r="601" spans="2:22" ht="18" customHeight="1" thickBot="1" x14ac:dyDescent="0.3">
      <c r="B601" s="1205"/>
      <c r="C601" s="1208"/>
      <c r="D601" s="628"/>
      <c r="E601" s="1208"/>
      <c r="F601" s="1202"/>
      <c r="G601" s="1202"/>
      <c r="H601" s="1205"/>
      <c r="I601" s="1208"/>
      <c r="J601" s="1205"/>
      <c r="K601" s="1208"/>
      <c r="L601" s="1216"/>
      <c r="M601" s="547" t="s">
        <v>745</v>
      </c>
      <c r="N601" s="549"/>
      <c r="O601" s="551">
        <v>0</v>
      </c>
      <c r="P601" s="551">
        <v>0</v>
      </c>
      <c r="Q601" s="552">
        <v>0</v>
      </c>
      <c r="R601" s="48"/>
      <c r="S601" s="48"/>
      <c r="T601" s="48"/>
      <c r="U601" s="48"/>
      <c r="V601" s="48"/>
    </row>
    <row r="602" spans="2:22" ht="25.5" customHeight="1" thickBot="1" x14ac:dyDescent="0.3">
      <c r="B602" s="1204" t="s">
        <v>173</v>
      </c>
      <c r="C602" s="1199" t="s">
        <v>596</v>
      </c>
      <c r="D602" s="689" t="s">
        <v>288</v>
      </c>
      <c r="E602" s="1199" t="s">
        <v>505</v>
      </c>
      <c r="F602" s="1201" t="s">
        <v>595</v>
      </c>
      <c r="G602" s="1199" t="s">
        <v>116</v>
      </c>
      <c r="H602" s="1204" t="s">
        <v>241</v>
      </c>
      <c r="I602" s="1199">
        <v>15123</v>
      </c>
      <c r="J602" s="1204" t="s">
        <v>462</v>
      </c>
      <c r="K602" s="1199">
        <f>K606+K607+K608+K609+K610</f>
        <v>15337</v>
      </c>
      <c r="L602" s="1192">
        <f>L606+L607+L608+L609+L610</f>
        <v>14403</v>
      </c>
      <c r="M602" s="672" t="s">
        <v>122</v>
      </c>
      <c r="N602" s="550"/>
      <c r="O602" s="561">
        <f>O603+O604+O605</f>
        <v>71551.870999999999</v>
      </c>
      <c r="P602" s="561">
        <f>P603+P604+P605</f>
        <v>70034.870999999999</v>
      </c>
      <c r="Q602" s="562">
        <f>Q603+Q604+Q605</f>
        <v>70161.870999999999</v>
      </c>
      <c r="R602" s="48"/>
      <c r="S602" s="48"/>
      <c r="T602" s="48"/>
      <c r="U602" s="48"/>
      <c r="V602" s="48"/>
    </row>
    <row r="603" spans="2:22" ht="24" customHeight="1" thickBot="1" x14ac:dyDescent="0.3">
      <c r="B603" s="1204"/>
      <c r="C603" s="1199"/>
      <c r="D603" s="609"/>
      <c r="E603" s="1199"/>
      <c r="F603" s="1201"/>
      <c r="G603" s="1199"/>
      <c r="H603" s="1204"/>
      <c r="I603" s="1199"/>
      <c r="J603" s="1204"/>
      <c r="K603" s="1199"/>
      <c r="L603" s="1192"/>
      <c r="M603" s="636" t="s">
        <v>123</v>
      </c>
      <c r="N603" s="549"/>
      <c r="O603" s="544">
        <v>0</v>
      </c>
      <c r="P603" s="544">
        <v>0</v>
      </c>
      <c r="Q603" s="675">
        <v>0</v>
      </c>
      <c r="R603" s="48"/>
      <c r="S603" s="48"/>
      <c r="T603" s="48"/>
      <c r="U603" s="48"/>
      <c r="V603" s="48"/>
    </row>
    <row r="604" spans="2:22" ht="24" customHeight="1" thickBot="1" x14ac:dyDescent="0.3">
      <c r="B604" s="1204"/>
      <c r="C604" s="1199"/>
      <c r="D604" s="609"/>
      <c r="E604" s="1199"/>
      <c r="F604" s="1201"/>
      <c r="G604" s="1199"/>
      <c r="H604" s="1204"/>
      <c r="I604" s="1199"/>
      <c r="J604" s="1204"/>
      <c r="K604" s="1199"/>
      <c r="L604" s="1192"/>
      <c r="M604" s="692" t="s">
        <v>124</v>
      </c>
      <c r="N604" s="563"/>
      <c r="O604" s="551">
        <f>O608</f>
        <v>71551.870999999999</v>
      </c>
      <c r="P604" s="551">
        <f>P608</f>
        <v>70034.870999999999</v>
      </c>
      <c r="Q604" s="552">
        <f>Q608</f>
        <v>70161.870999999999</v>
      </c>
      <c r="R604" s="48"/>
      <c r="S604" s="48"/>
      <c r="T604" s="48"/>
      <c r="U604" s="48"/>
      <c r="V604" s="48"/>
    </row>
    <row r="605" spans="2:22" ht="31.5" customHeight="1" thickBot="1" x14ac:dyDescent="0.3">
      <c r="B605" s="1204"/>
      <c r="C605" s="1199"/>
      <c r="D605" s="688"/>
      <c r="E605" s="1199"/>
      <c r="F605" s="1201"/>
      <c r="G605" s="1199"/>
      <c r="H605" s="1204"/>
      <c r="I605" s="1199"/>
      <c r="J605" s="1204"/>
      <c r="K605" s="1199"/>
      <c r="L605" s="1192"/>
      <c r="M605" s="671" t="s">
        <v>745</v>
      </c>
      <c r="N605" s="543"/>
      <c r="O605" s="544">
        <v>0</v>
      </c>
      <c r="P605" s="544">
        <v>0</v>
      </c>
      <c r="Q605" s="675">
        <v>0</v>
      </c>
      <c r="R605" s="48"/>
      <c r="S605" s="48"/>
      <c r="T605" s="48"/>
      <c r="U605" s="48"/>
      <c r="V605" s="48"/>
    </row>
    <row r="606" spans="2:22" ht="234" customHeight="1" thickBot="1" x14ac:dyDescent="0.3">
      <c r="B606" s="547" t="s">
        <v>173</v>
      </c>
      <c r="C606" s="704" t="s">
        <v>596</v>
      </c>
      <c r="D606" s="636" t="s">
        <v>288</v>
      </c>
      <c r="E606" s="636" t="s">
        <v>505</v>
      </c>
      <c r="F606" s="662" t="s">
        <v>357</v>
      </c>
      <c r="G606" s="738" t="s">
        <v>256</v>
      </c>
      <c r="H606" s="546" t="s">
        <v>241</v>
      </c>
      <c r="I606" s="636">
        <v>7496</v>
      </c>
      <c r="J606" s="1206" t="s">
        <v>462</v>
      </c>
      <c r="K606" s="654">
        <v>7297</v>
      </c>
      <c r="L606" s="593">
        <v>7311</v>
      </c>
      <c r="M606" s="655" t="s">
        <v>122</v>
      </c>
      <c r="N606" s="1288">
        <v>64789.550999999999</v>
      </c>
      <c r="O606" s="698">
        <f>O607+O608+O609</f>
        <v>71551.870999999999</v>
      </c>
      <c r="P606" s="698">
        <f>P607+P608+P609</f>
        <v>70034.870999999999</v>
      </c>
      <c r="Q606" s="656">
        <f>Q607+Q608+Q609</f>
        <v>70161.870999999999</v>
      </c>
      <c r="R606" s="48"/>
      <c r="S606" s="48"/>
      <c r="T606" s="48"/>
      <c r="U606" s="48"/>
      <c r="V606" s="48"/>
    </row>
    <row r="607" spans="2:22" ht="172.5" customHeight="1" thickBot="1" x14ac:dyDescent="0.3">
      <c r="B607" s="687" t="s">
        <v>173</v>
      </c>
      <c r="C607" s="673" t="s">
        <v>596</v>
      </c>
      <c r="D607" s="672" t="s">
        <v>288</v>
      </c>
      <c r="E607" s="672" t="s">
        <v>505</v>
      </c>
      <c r="F607" s="663" t="s">
        <v>358</v>
      </c>
      <c r="G607" s="749" t="s">
        <v>256</v>
      </c>
      <c r="H607" s="684" t="s">
        <v>241</v>
      </c>
      <c r="I607" s="693">
        <v>250</v>
      </c>
      <c r="J607" s="1204"/>
      <c r="K607" s="555">
        <v>270</v>
      </c>
      <c r="L607" s="594">
        <v>283</v>
      </c>
      <c r="M607" s="644" t="s">
        <v>123</v>
      </c>
      <c r="N607" s="1289"/>
      <c r="O607" s="699">
        <v>0</v>
      </c>
      <c r="P607" s="699">
        <v>0</v>
      </c>
      <c r="Q607" s="597">
        <v>0</v>
      </c>
      <c r="R607" s="48"/>
      <c r="S607" s="48"/>
      <c r="T607" s="48"/>
      <c r="U607" s="48"/>
      <c r="V607" s="48"/>
    </row>
    <row r="608" spans="2:22" ht="245.25" customHeight="1" thickBot="1" x14ac:dyDescent="0.3">
      <c r="B608" s="584" t="s">
        <v>173</v>
      </c>
      <c r="C608" s="703" t="s">
        <v>596</v>
      </c>
      <c r="D608" s="636" t="s">
        <v>288</v>
      </c>
      <c r="E608" s="636" t="s">
        <v>505</v>
      </c>
      <c r="F608" s="662" t="s">
        <v>359</v>
      </c>
      <c r="G608" s="545" t="s">
        <v>256</v>
      </c>
      <c r="H608" s="546" t="s">
        <v>241</v>
      </c>
      <c r="I608" s="636">
        <v>3289</v>
      </c>
      <c r="J608" s="1204"/>
      <c r="K608" s="555">
        <v>3251</v>
      </c>
      <c r="L608" s="594">
        <v>3264</v>
      </c>
      <c r="M608" s="644" t="s">
        <v>124</v>
      </c>
      <c r="N608" s="1289"/>
      <c r="O608" s="699">
        <v>71551.870999999999</v>
      </c>
      <c r="P608" s="699">
        <v>70034.870999999999</v>
      </c>
      <c r="Q608" s="597">
        <v>70161.870999999999</v>
      </c>
      <c r="R608" s="48"/>
      <c r="S608" s="48"/>
      <c r="T608" s="48"/>
      <c r="U608" s="48"/>
      <c r="V608" s="48"/>
    </row>
    <row r="609" spans="2:22" ht="219.75" customHeight="1" x14ac:dyDescent="0.25">
      <c r="B609" s="584" t="s">
        <v>173</v>
      </c>
      <c r="C609" s="682" t="s">
        <v>596</v>
      </c>
      <c r="D609" s="689" t="s">
        <v>288</v>
      </c>
      <c r="E609" s="689" t="s">
        <v>505</v>
      </c>
      <c r="F609" s="660" t="s">
        <v>360</v>
      </c>
      <c r="G609" s="697" t="s">
        <v>256</v>
      </c>
      <c r="H609" s="661" t="s">
        <v>241</v>
      </c>
      <c r="I609" s="696">
        <v>1530</v>
      </c>
      <c r="J609" s="1204"/>
      <c r="K609" s="555">
        <v>1538</v>
      </c>
      <c r="L609" s="594">
        <v>1551</v>
      </c>
      <c r="M609" s="598" t="s">
        <v>745</v>
      </c>
      <c r="N609" s="1289"/>
      <c r="O609" s="699">
        <v>0</v>
      </c>
      <c r="P609" s="699">
        <v>0</v>
      </c>
      <c r="Q609" s="597">
        <v>0</v>
      </c>
      <c r="R609" s="48"/>
      <c r="S609" s="48"/>
      <c r="T609" s="48"/>
      <c r="U609" s="48"/>
      <c r="V609" s="48"/>
    </row>
    <row r="610" spans="2:22" ht="66.75" customHeight="1" thickBot="1" x14ac:dyDescent="0.3">
      <c r="B610" s="586" t="s">
        <v>173</v>
      </c>
      <c r="C610" s="558" t="s">
        <v>596</v>
      </c>
      <c r="D610" s="628" t="s">
        <v>288</v>
      </c>
      <c r="E610" s="628" t="s">
        <v>505</v>
      </c>
      <c r="F610" s="736" t="s">
        <v>361</v>
      </c>
      <c r="G610" s="737" t="s">
        <v>256</v>
      </c>
      <c r="H610" s="658" t="s">
        <v>241</v>
      </c>
      <c r="I610" s="592">
        <v>2968</v>
      </c>
      <c r="J610" s="1205"/>
      <c r="K610" s="558">
        <v>2981</v>
      </c>
      <c r="L610" s="592">
        <v>1994</v>
      </c>
      <c r="M610" s="621"/>
      <c r="N610" s="1290"/>
      <c r="O610" s="700"/>
      <c r="P610" s="700"/>
      <c r="Q610" s="659"/>
      <c r="R610" s="48"/>
      <c r="S610" s="48"/>
      <c r="T610" s="48"/>
      <c r="U610" s="48"/>
      <c r="V610" s="48"/>
    </row>
    <row r="611" spans="2:22" ht="44.25" hidden="1" customHeight="1" thickBot="1" x14ac:dyDescent="0.3">
      <c r="B611" s="1204" t="s">
        <v>173</v>
      </c>
      <c r="C611" s="1199" t="s">
        <v>289</v>
      </c>
      <c r="D611" s="689" t="s">
        <v>288</v>
      </c>
      <c r="E611" s="1209" t="s">
        <v>116</v>
      </c>
      <c r="F611" s="1201" t="s">
        <v>290</v>
      </c>
      <c r="G611" s="1201" t="s">
        <v>257</v>
      </c>
      <c r="H611" s="1204" t="s">
        <v>242</v>
      </c>
      <c r="I611" s="1199" t="s">
        <v>607</v>
      </c>
      <c r="J611" s="1204" t="s">
        <v>462</v>
      </c>
      <c r="K611" s="1199" t="s">
        <v>607</v>
      </c>
      <c r="L611" s="1192" t="s">
        <v>607</v>
      </c>
      <c r="M611" s="672" t="s">
        <v>122</v>
      </c>
      <c r="N611" s="550"/>
      <c r="O611" s="561">
        <f>O612+O613+O614</f>
        <v>0</v>
      </c>
      <c r="P611" s="561">
        <f>P612+P613+P614</f>
        <v>0</v>
      </c>
      <c r="Q611" s="562">
        <f>Q612+Q613+Q614</f>
        <v>0</v>
      </c>
      <c r="R611" s="48"/>
      <c r="S611" s="48"/>
      <c r="T611" s="48"/>
      <c r="U611" s="48"/>
      <c r="V611" s="48"/>
    </row>
    <row r="612" spans="2:22" ht="33.75" hidden="1" customHeight="1" thickBot="1" x14ac:dyDescent="0.3">
      <c r="B612" s="1204"/>
      <c r="C612" s="1199"/>
      <c r="D612" s="609"/>
      <c r="E612" s="1209"/>
      <c r="F612" s="1201"/>
      <c r="G612" s="1201"/>
      <c r="H612" s="1204"/>
      <c r="I612" s="1199"/>
      <c r="J612" s="1204"/>
      <c r="K612" s="1199"/>
      <c r="L612" s="1192"/>
      <c r="M612" s="636" t="s">
        <v>123</v>
      </c>
      <c r="N612" s="549"/>
      <c r="O612" s="544">
        <v>0</v>
      </c>
      <c r="P612" s="544">
        <v>0</v>
      </c>
      <c r="Q612" s="675">
        <v>0</v>
      </c>
      <c r="R612" s="48"/>
      <c r="S612" s="48"/>
      <c r="T612" s="48"/>
      <c r="U612" s="48"/>
      <c r="V612" s="48"/>
    </row>
    <row r="613" spans="2:22" ht="34.5" hidden="1" customHeight="1" thickBot="1" x14ac:dyDescent="0.3">
      <c r="B613" s="1204"/>
      <c r="C613" s="1199"/>
      <c r="D613" s="609"/>
      <c r="E613" s="1209"/>
      <c r="F613" s="1201"/>
      <c r="G613" s="1201"/>
      <c r="H613" s="1204"/>
      <c r="I613" s="1199"/>
      <c r="J613" s="1204"/>
      <c r="K613" s="1199"/>
      <c r="L613" s="1192"/>
      <c r="M613" s="542" t="s">
        <v>124</v>
      </c>
      <c r="N613" s="543"/>
      <c r="O613" s="544">
        <f>O617+O621</f>
        <v>0</v>
      </c>
      <c r="P613" s="544">
        <f>P617+P621</f>
        <v>0</v>
      </c>
      <c r="Q613" s="675">
        <f>Q617+Q621</f>
        <v>0</v>
      </c>
      <c r="R613" s="48"/>
      <c r="S613" s="48"/>
      <c r="T613" s="48"/>
      <c r="U613" s="48"/>
      <c r="V613" s="48"/>
    </row>
    <row r="614" spans="2:22" ht="53.25" hidden="1" customHeight="1" thickBot="1" x14ac:dyDescent="0.3">
      <c r="B614" s="1205"/>
      <c r="C614" s="1208"/>
      <c r="D614" s="609"/>
      <c r="E614" s="1210"/>
      <c r="F614" s="1202"/>
      <c r="G614" s="1202"/>
      <c r="H614" s="1205"/>
      <c r="I614" s="1208"/>
      <c r="J614" s="1205"/>
      <c r="K614" s="1208"/>
      <c r="L614" s="1216"/>
      <c r="M614" s="547" t="s">
        <v>745</v>
      </c>
      <c r="N614" s="549"/>
      <c r="O614" s="551">
        <v>0</v>
      </c>
      <c r="P614" s="551">
        <v>0</v>
      </c>
      <c r="Q614" s="552">
        <v>0</v>
      </c>
      <c r="R614" s="48"/>
      <c r="S614" s="48"/>
      <c r="T614" s="48"/>
      <c r="U614" s="48"/>
      <c r="V614" s="48"/>
    </row>
    <row r="615" spans="2:22" ht="24" hidden="1" customHeight="1" thickBot="1" x14ac:dyDescent="0.3">
      <c r="B615" s="1206" t="s">
        <v>173</v>
      </c>
      <c r="C615" s="1207" t="s">
        <v>289</v>
      </c>
      <c r="D615" s="609" t="s">
        <v>288</v>
      </c>
      <c r="E615" s="1207" t="s">
        <v>505</v>
      </c>
      <c r="F615" s="1200" t="s">
        <v>604</v>
      </c>
      <c r="G615" s="1200" t="s">
        <v>257</v>
      </c>
      <c r="H615" s="1206" t="s">
        <v>242</v>
      </c>
      <c r="I615" s="1207" t="s">
        <v>605</v>
      </c>
      <c r="J615" s="1206" t="s">
        <v>462</v>
      </c>
      <c r="K615" s="1207" t="s">
        <v>605</v>
      </c>
      <c r="L615" s="1215" t="s">
        <v>605</v>
      </c>
      <c r="M615" s="542" t="s">
        <v>122</v>
      </c>
      <c r="N615" s="543"/>
      <c r="O615" s="544">
        <f>O616+O617+O618</f>
        <v>0</v>
      </c>
      <c r="P615" s="544">
        <f>P616+P617+P618</f>
        <v>0</v>
      </c>
      <c r="Q615" s="675">
        <f>Q616+Q617+Q618</f>
        <v>0</v>
      </c>
      <c r="R615" s="48"/>
      <c r="S615" s="48"/>
      <c r="T615" s="48"/>
      <c r="U615" s="48"/>
      <c r="V615" s="48"/>
    </row>
    <row r="616" spans="2:22" ht="21" hidden="1" customHeight="1" thickBot="1" x14ac:dyDescent="0.3">
      <c r="B616" s="1204"/>
      <c r="C616" s="1199"/>
      <c r="D616" s="609"/>
      <c r="E616" s="1199"/>
      <c r="F616" s="1201"/>
      <c r="G616" s="1201"/>
      <c r="H616" s="1204"/>
      <c r="I616" s="1199"/>
      <c r="J616" s="1204"/>
      <c r="K616" s="1199"/>
      <c r="L616" s="1192"/>
      <c r="M616" s="636" t="s">
        <v>123</v>
      </c>
      <c r="N616" s="549"/>
      <c r="O616" s="544">
        <v>0</v>
      </c>
      <c r="P616" s="544">
        <v>0</v>
      </c>
      <c r="Q616" s="675">
        <v>0</v>
      </c>
      <c r="R616" s="48"/>
      <c r="S616" s="48"/>
      <c r="T616" s="48"/>
      <c r="U616" s="48"/>
      <c r="V616" s="48"/>
    </row>
    <row r="617" spans="2:22" ht="24" hidden="1" customHeight="1" thickBot="1" x14ac:dyDescent="0.3">
      <c r="B617" s="1204"/>
      <c r="C617" s="1199"/>
      <c r="D617" s="609"/>
      <c r="E617" s="1199"/>
      <c r="F617" s="1201"/>
      <c r="G617" s="1201"/>
      <c r="H617" s="1204"/>
      <c r="I617" s="1199"/>
      <c r="J617" s="1204"/>
      <c r="K617" s="1199"/>
      <c r="L617" s="1192"/>
      <c r="M617" s="672" t="s">
        <v>124</v>
      </c>
      <c r="N617" s="550"/>
      <c r="O617" s="544">
        <v>0</v>
      </c>
      <c r="P617" s="544">
        <v>0</v>
      </c>
      <c r="Q617" s="675">
        <v>0</v>
      </c>
      <c r="R617" s="48"/>
      <c r="S617" s="48"/>
      <c r="T617" s="48"/>
      <c r="U617" s="48"/>
      <c r="V617" s="48"/>
    </row>
    <row r="618" spans="2:22" ht="24" hidden="1" customHeight="1" thickBot="1" x14ac:dyDescent="0.3">
      <c r="B618" s="1204"/>
      <c r="C618" s="1199"/>
      <c r="D618" s="688"/>
      <c r="E618" s="1199"/>
      <c r="F618" s="1201"/>
      <c r="G618" s="1201"/>
      <c r="H618" s="1204"/>
      <c r="I618" s="1199"/>
      <c r="J618" s="1204"/>
      <c r="K618" s="1199"/>
      <c r="L618" s="1192"/>
      <c r="M618" s="671" t="s">
        <v>745</v>
      </c>
      <c r="N618" s="543"/>
      <c r="O618" s="544">
        <v>0</v>
      </c>
      <c r="P618" s="544">
        <v>0</v>
      </c>
      <c r="Q618" s="675">
        <v>0</v>
      </c>
      <c r="R618" s="48"/>
      <c r="S618" s="48"/>
      <c r="T618" s="48"/>
      <c r="U618" s="48"/>
      <c r="V618" s="48"/>
    </row>
    <row r="619" spans="2:22" ht="117" hidden="1" customHeight="1" thickBot="1" x14ac:dyDescent="0.3">
      <c r="B619" s="1206" t="s">
        <v>173</v>
      </c>
      <c r="C619" s="1207" t="s">
        <v>289</v>
      </c>
      <c r="D619" s="620" t="s">
        <v>288</v>
      </c>
      <c r="E619" s="1207" t="s">
        <v>621</v>
      </c>
      <c r="F619" s="1200" t="s">
        <v>604</v>
      </c>
      <c r="G619" s="1200" t="s">
        <v>257</v>
      </c>
      <c r="H619" s="1206" t="s">
        <v>242</v>
      </c>
      <c r="I619" s="1207" t="s">
        <v>606</v>
      </c>
      <c r="J619" s="1206" t="s">
        <v>462</v>
      </c>
      <c r="K619" s="1207" t="s">
        <v>606</v>
      </c>
      <c r="L619" s="1215" t="s">
        <v>606</v>
      </c>
      <c r="M619" s="542" t="s">
        <v>122</v>
      </c>
      <c r="N619" s="543"/>
      <c r="O619" s="544">
        <f>O620+O621+O622</f>
        <v>0</v>
      </c>
      <c r="P619" s="544">
        <f>P620+P621+P622</f>
        <v>0</v>
      </c>
      <c r="Q619" s="675">
        <f>Q620+Q621+Q622</f>
        <v>0</v>
      </c>
      <c r="R619" s="48"/>
      <c r="S619" s="48"/>
      <c r="T619" s="48"/>
      <c r="U619" s="48"/>
      <c r="V619" s="48"/>
    </row>
    <row r="620" spans="2:22" ht="23.25" hidden="1" customHeight="1" thickBot="1" x14ac:dyDescent="0.3">
      <c r="B620" s="1204"/>
      <c r="C620" s="1199"/>
      <c r="D620" s="609"/>
      <c r="E620" s="1199"/>
      <c r="F620" s="1201"/>
      <c r="G620" s="1201"/>
      <c r="H620" s="1204"/>
      <c r="I620" s="1199"/>
      <c r="J620" s="1204"/>
      <c r="K620" s="1199"/>
      <c r="L620" s="1192"/>
      <c r="M620" s="636" t="s">
        <v>123</v>
      </c>
      <c r="N620" s="549"/>
      <c r="O620" s="544">
        <v>0</v>
      </c>
      <c r="P620" s="544">
        <v>0</v>
      </c>
      <c r="Q620" s="675">
        <v>0</v>
      </c>
      <c r="R620" s="48"/>
      <c r="S620" s="48"/>
      <c r="T620" s="48"/>
      <c r="U620" s="48"/>
      <c r="V620" s="48"/>
    </row>
    <row r="621" spans="2:22" ht="21" hidden="1" customHeight="1" thickBot="1" x14ac:dyDescent="0.3">
      <c r="B621" s="1204"/>
      <c r="C621" s="1199"/>
      <c r="D621" s="609"/>
      <c r="E621" s="1199"/>
      <c r="F621" s="1201"/>
      <c r="G621" s="1201"/>
      <c r="H621" s="1204"/>
      <c r="I621" s="1199"/>
      <c r="J621" s="1204"/>
      <c r="K621" s="1199"/>
      <c r="L621" s="1192"/>
      <c r="M621" s="672" t="s">
        <v>124</v>
      </c>
      <c r="N621" s="550"/>
      <c r="O621" s="544">
        <v>0</v>
      </c>
      <c r="P621" s="544">
        <v>0</v>
      </c>
      <c r="Q621" s="675">
        <v>0</v>
      </c>
      <c r="R621" s="48"/>
      <c r="S621" s="48"/>
      <c r="T621" s="48"/>
      <c r="U621" s="48"/>
      <c r="V621" s="48"/>
    </row>
    <row r="622" spans="2:22" ht="23.25" hidden="1" customHeight="1" thickBot="1" x14ac:dyDescent="0.3">
      <c r="B622" s="1205"/>
      <c r="C622" s="1208"/>
      <c r="D622" s="628"/>
      <c r="E622" s="1208"/>
      <c r="F622" s="1202"/>
      <c r="G622" s="1202"/>
      <c r="H622" s="1205"/>
      <c r="I622" s="1208"/>
      <c r="J622" s="1205"/>
      <c r="K622" s="1208"/>
      <c r="L622" s="1216"/>
      <c r="M622" s="547" t="s">
        <v>745</v>
      </c>
      <c r="N622" s="549"/>
      <c r="O622" s="551">
        <v>0</v>
      </c>
      <c r="P622" s="551">
        <v>0</v>
      </c>
      <c r="Q622" s="552">
        <v>0</v>
      </c>
      <c r="R622" s="48"/>
      <c r="S622" s="48"/>
      <c r="T622" s="48"/>
      <c r="U622" s="48"/>
      <c r="V622" s="48"/>
    </row>
    <row r="623" spans="2:22" ht="24" customHeight="1" thickBot="1" x14ac:dyDescent="0.3">
      <c r="B623" s="1206" t="s">
        <v>173</v>
      </c>
      <c r="C623" s="1207" t="s">
        <v>291</v>
      </c>
      <c r="D623" s="620" t="s">
        <v>288</v>
      </c>
      <c r="E623" s="1207" t="s">
        <v>505</v>
      </c>
      <c r="F623" s="1200" t="s">
        <v>77</v>
      </c>
      <c r="G623" s="1200" t="s">
        <v>254</v>
      </c>
      <c r="H623" s="1206" t="s">
        <v>240</v>
      </c>
      <c r="I623" s="1207">
        <v>1</v>
      </c>
      <c r="J623" s="1206" t="s">
        <v>462</v>
      </c>
      <c r="K623" s="1207" t="s">
        <v>116</v>
      </c>
      <c r="L623" s="1215" t="s">
        <v>116</v>
      </c>
      <c r="M623" s="542" t="s">
        <v>122</v>
      </c>
      <c r="N623" s="543"/>
      <c r="O623" s="544">
        <f t="shared" ref="O623:Q626" si="14">O627+O631+O635+O639+O643+O647+O651+O655</f>
        <v>16104.223</v>
      </c>
      <c r="P623" s="544">
        <f t="shared" si="14"/>
        <v>3800</v>
      </c>
      <c r="Q623" s="675">
        <f t="shared" si="14"/>
        <v>3800</v>
      </c>
      <c r="R623" s="48"/>
      <c r="S623" s="48"/>
      <c r="T623" s="48"/>
      <c r="U623" s="48"/>
      <c r="V623" s="48"/>
    </row>
    <row r="624" spans="2:22" ht="21" customHeight="1" thickBot="1" x14ac:dyDescent="0.3">
      <c r="B624" s="1204"/>
      <c r="C624" s="1199"/>
      <c r="D624" s="609"/>
      <c r="E624" s="1199"/>
      <c r="F624" s="1201"/>
      <c r="G624" s="1201"/>
      <c r="H624" s="1204"/>
      <c r="I624" s="1199"/>
      <c r="J624" s="1204"/>
      <c r="K624" s="1199"/>
      <c r="L624" s="1192"/>
      <c r="M624" s="636" t="s">
        <v>123</v>
      </c>
      <c r="N624" s="549"/>
      <c r="O624" s="544">
        <f t="shared" si="14"/>
        <v>0</v>
      </c>
      <c r="P624" s="544">
        <f t="shared" si="14"/>
        <v>0</v>
      </c>
      <c r="Q624" s="675">
        <f t="shared" si="14"/>
        <v>0</v>
      </c>
      <c r="R624" s="48"/>
      <c r="S624" s="48"/>
      <c r="T624" s="48"/>
      <c r="U624" s="48"/>
      <c r="V624" s="48"/>
    </row>
    <row r="625" spans="2:22" ht="22.5" customHeight="1" thickBot="1" x14ac:dyDescent="0.3">
      <c r="B625" s="1204"/>
      <c r="C625" s="1199"/>
      <c r="D625" s="609"/>
      <c r="E625" s="1199"/>
      <c r="F625" s="1201"/>
      <c r="G625" s="1201"/>
      <c r="H625" s="1204"/>
      <c r="I625" s="1199"/>
      <c r="J625" s="1204"/>
      <c r="K625" s="1199"/>
      <c r="L625" s="1192"/>
      <c r="M625" s="672" t="s">
        <v>124</v>
      </c>
      <c r="N625" s="550"/>
      <c r="O625" s="544">
        <f t="shared" si="14"/>
        <v>16104.223</v>
      </c>
      <c r="P625" s="544">
        <f t="shared" si="14"/>
        <v>3800</v>
      </c>
      <c r="Q625" s="675">
        <f t="shared" si="14"/>
        <v>3800</v>
      </c>
      <c r="R625" s="48"/>
      <c r="S625" s="48"/>
      <c r="T625" s="48"/>
      <c r="U625" s="48"/>
      <c r="V625" s="48"/>
    </row>
    <row r="626" spans="2:22" ht="22.5" customHeight="1" thickBot="1" x14ac:dyDescent="0.3">
      <c r="B626" s="1205"/>
      <c r="C626" s="1208"/>
      <c r="D626" s="628"/>
      <c r="E626" s="1208"/>
      <c r="F626" s="1202"/>
      <c r="G626" s="1202"/>
      <c r="H626" s="1205"/>
      <c r="I626" s="1208"/>
      <c r="J626" s="1205"/>
      <c r="K626" s="1208"/>
      <c r="L626" s="1216"/>
      <c r="M626" s="547" t="s">
        <v>745</v>
      </c>
      <c r="N626" s="549"/>
      <c r="O626" s="551">
        <f t="shared" si="14"/>
        <v>2251.9679999999998</v>
      </c>
      <c r="P626" s="551">
        <f t="shared" si="14"/>
        <v>0</v>
      </c>
      <c r="Q626" s="552">
        <f t="shared" si="14"/>
        <v>0</v>
      </c>
      <c r="R626" s="48"/>
      <c r="S626" s="48"/>
      <c r="T626" s="48"/>
      <c r="U626" s="48"/>
      <c r="V626" s="48"/>
    </row>
    <row r="627" spans="2:22" ht="24" customHeight="1" thickBot="1" x14ac:dyDescent="0.3">
      <c r="B627" s="1206" t="s">
        <v>173</v>
      </c>
      <c r="C627" s="1207" t="s">
        <v>291</v>
      </c>
      <c r="D627" s="620" t="s">
        <v>288</v>
      </c>
      <c r="E627" s="1207" t="s">
        <v>505</v>
      </c>
      <c r="F627" s="1200" t="s">
        <v>880</v>
      </c>
      <c r="G627" s="1200" t="s">
        <v>254</v>
      </c>
      <c r="H627" s="1206" t="s">
        <v>240</v>
      </c>
      <c r="I627" s="1207">
        <v>1</v>
      </c>
      <c r="J627" s="1206" t="s">
        <v>462</v>
      </c>
      <c r="K627" s="1207">
        <v>1</v>
      </c>
      <c r="L627" s="1215">
        <v>1</v>
      </c>
      <c r="M627" s="542" t="s">
        <v>122</v>
      </c>
      <c r="N627" s="543"/>
      <c r="O627" s="544">
        <f>O628+O629</f>
        <v>2946.26</v>
      </c>
      <c r="P627" s="675">
        <f>P628+P629</f>
        <v>1733.9</v>
      </c>
      <c r="Q627" s="676">
        <f>Q628+Q629</f>
        <v>1733.9</v>
      </c>
      <c r="R627" s="48"/>
      <c r="S627" s="48"/>
      <c r="T627" s="48"/>
      <c r="U627" s="48"/>
      <c r="V627" s="48"/>
    </row>
    <row r="628" spans="2:22" ht="24" customHeight="1" thickBot="1" x14ac:dyDescent="0.3">
      <c r="B628" s="1204"/>
      <c r="C628" s="1199"/>
      <c r="D628" s="609"/>
      <c r="E628" s="1199"/>
      <c r="F628" s="1201"/>
      <c r="G628" s="1201"/>
      <c r="H628" s="1204"/>
      <c r="I628" s="1199"/>
      <c r="J628" s="1204"/>
      <c r="K628" s="1199"/>
      <c r="L628" s="1192"/>
      <c r="M628" s="636" t="s">
        <v>123</v>
      </c>
      <c r="N628" s="549"/>
      <c r="O628" s="544">
        <v>0</v>
      </c>
      <c r="P628" s="675">
        <v>0</v>
      </c>
      <c r="Q628" s="675">
        <v>0</v>
      </c>
      <c r="R628" s="48"/>
      <c r="S628" s="48"/>
      <c r="T628" s="48"/>
      <c r="U628" s="48"/>
      <c r="V628" s="48"/>
    </row>
    <row r="629" spans="2:22" ht="23.25" customHeight="1" thickBot="1" x14ac:dyDescent="0.3">
      <c r="B629" s="1204"/>
      <c r="C629" s="1199"/>
      <c r="D629" s="609"/>
      <c r="E629" s="1199"/>
      <c r="F629" s="1201"/>
      <c r="G629" s="1201"/>
      <c r="H629" s="1204"/>
      <c r="I629" s="1199"/>
      <c r="J629" s="1204"/>
      <c r="K629" s="1199"/>
      <c r="L629" s="1192"/>
      <c r="M629" s="672" t="s">
        <v>124</v>
      </c>
      <c r="N629" s="550"/>
      <c r="O629" s="544">
        <v>2946.26</v>
      </c>
      <c r="P629" s="675">
        <v>1733.9</v>
      </c>
      <c r="Q629" s="675">
        <v>1733.9</v>
      </c>
      <c r="R629" s="48"/>
      <c r="S629" s="48"/>
      <c r="T629" s="48"/>
      <c r="U629" s="48"/>
      <c r="V629" s="48"/>
    </row>
    <row r="630" spans="2:22" ht="23.25" customHeight="1" thickBot="1" x14ac:dyDescent="0.3">
      <c r="B630" s="1205"/>
      <c r="C630" s="1208"/>
      <c r="D630" s="628"/>
      <c r="E630" s="1208"/>
      <c r="F630" s="1202"/>
      <c r="G630" s="1202"/>
      <c r="H630" s="1205"/>
      <c r="I630" s="1208"/>
      <c r="J630" s="1205"/>
      <c r="K630" s="1208"/>
      <c r="L630" s="1216"/>
      <c r="M630" s="547" t="s">
        <v>745</v>
      </c>
      <c r="N630" s="549"/>
      <c r="O630" s="551">
        <v>0</v>
      </c>
      <c r="P630" s="552">
        <v>0</v>
      </c>
      <c r="Q630" s="552">
        <v>0</v>
      </c>
      <c r="R630" s="48"/>
      <c r="S630" s="48"/>
      <c r="T630" s="48"/>
      <c r="U630" s="48"/>
      <c r="V630" s="48"/>
    </row>
    <row r="631" spans="2:22" ht="34.5" customHeight="1" thickBot="1" x14ac:dyDescent="0.3">
      <c r="B631" s="1204" t="s">
        <v>173</v>
      </c>
      <c r="C631" s="1199" t="s">
        <v>291</v>
      </c>
      <c r="D631" s="689" t="s">
        <v>288</v>
      </c>
      <c r="E631" s="1199" t="s">
        <v>505</v>
      </c>
      <c r="F631" s="1201" t="s">
        <v>873</v>
      </c>
      <c r="G631" s="1201" t="s">
        <v>254</v>
      </c>
      <c r="H631" s="1204" t="s">
        <v>240</v>
      </c>
      <c r="I631" s="1199">
        <v>1</v>
      </c>
      <c r="J631" s="1204" t="s">
        <v>462</v>
      </c>
      <c r="K631" s="1199">
        <v>1</v>
      </c>
      <c r="L631" s="1192">
        <v>1</v>
      </c>
      <c r="M631" s="692" t="s">
        <v>122</v>
      </c>
      <c r="N631" s="563"/>
      <c r="O631" s="557">
        <f>O632+O633</f>
        <v>2066.1</v>
      </c>
      <c r="P631" s="557">
        <f>P632+P633</f>
        <v>2066.1</v>
      </c>
      <c r="Q631" s="552">
        <f>Q632+Q633</f>
        <v>2066.1</v>
      </c>
      <c r="R631" s="48"/>
      <c r="S631" s="48"/>
      <c r="T631" s="48"/>
      <c r="U631" s="48"/>
      <c r="V631" s="48"/>
    </row>
    <row r="632" spans="2:22" ht="35.25" customHeight="1" thickBot="1" x14ac:dyDescent="0.3">
      <c r="B632" s="1204"/>
      <c r="C632" s="1199"/>
      <c r="D632" s="609"/>
      <c r="E632" s="1199"/>
      <c r="F632" s="1201"/>
      <c r="G632" s="1201"/>
      <c r="H632" s="1204"/>
      <c r="I632" s="1199"/>
      <c r="J632" s="1204"/>
      <c r="K632" s="1199"/>
      <c r="L632" s="1192"/>
      <c r="M632" s="636" t="s">
        <v>123</v>
      </c>
      <c r="N632" s="549"/>
      <c r="O632" s="544">
        <v>0</v>
      </c>
      <c r="P632" s="544">
        <v>0</v>
      </c>
      <c r="Q632" s="675">
        <v>0</v>
      </c>
      <c r="R632" s="48"/>
      <c r="S632" s="48"/>
      <c r="T632" s="48"/>
      <c r="U632" s="48"/>
      <c r="V632" s="48"/>
    </row>
    <row r="633" spans="2:22" ht="48.75" customHeight="1" thickBot="1" x14ac:dyDescent="0.3">
      <c r="B633" s="1204"/>
      <c r="C633" s="1199"/>
      <c r="D633" s="609"/>
      <c r="E633" s="1199"/>
      <c r="F633" s="1201"/>
      <c r="G633" s="1201"/>
      <c r="H633" s="1204"/>
      <c r="I633" s="1199"/>
      <c r="J633" s="1204"/>
      <c r="K633" s="1199"/>
      <c r="L633" s="1192"/>
      <c r="M633" s="672" t="s">
        <v>124</v>
      </c>
      <c r="N633" s="550"/>
      <c r="O633" s="544">
        <v>2066.1</v>
      </c>
      <c r="P633" s="544">
        <v>2066.1</v>
      </c>
      <c r="Q633" s="675">
        <v>2066.1</v>
      </c>
      <c r="R633" s="48"/>
      <c r="S633" s="48"/>
      <c r="T633" s="48"/>
      <c r="U633" s="48"/>
      <c r="V633" s="48"/>
    </row>
    <row r="634" spans="2:22" ht="34.5" customHeight="1" thickBot="1" x14ac:dyDescent="0.3">
      <c r="B634" s="1205"/>
      <c r="C634" s="1199"/>
      <c r="D634" s="688"/>
      <c r="E634" s="1199"/>
      <c r="F634" s="1201"/>
      <c r="G634" s="1201"/>
      <c r="H634" s="1204"/>
      <c r="I634" s="1199"/>
      <c r="J634" s="1204"/>
      <c r="K634" s="1199"/>
      <c r="L634" s="1192"/>
      <c r="M634" s="671" t="s">
        <v>745</v>
      </c>
      <c r="N634" s="543"/>
      <c r="O634" s="544">
        <v>331.96800000000002</v>
      </c>
      <c r="P634" s="544">
        <v>0</v>
      </c>
      <c r="Q634" s="675">
        <v>0</v>
      </c>
      <c r="R634" s="48"/>
      <c r="S634" s="48"/>
      <c r="T634" s="48"/>
      <c r="U634" s="48"/>
      <c r="V634" s="48"/>
    </row>
    <row r="635" spans="2:22" ht="26.25" customHeight="1" thickBot="1" x14ac:dyDescent="0.3">
      <c r="B635" s="1206" t="s">
        <v>173</v>
      </c>
      <c r="C635" s="1207" t="s">
        <v>291</v>
      </c>
      <c r="D635" s="620" t="s">
        <v>288</v>
      </c>
      <c r="E635" s="1207" t="s">
        <v>505</v>
      </c>
      <c r="F635" s="1200" t="s">
        <v>294</v>
      </c>
      <c r="G635" s="1200" t="s">
        <v>254</v>
      </c>
      <c r="H635" s="1206" t="s">
        <v>240</v>
      </c>
      <c r="I635" s="1207">
        <v>1</v>
      </c>
      <c r="J635" s="1206" t="s">
        <v>462</v>
      </c>
      <c r="K635" s="1207" t="s">
        <v>199</v>
      </c>
      <c r="L635" s="1215" t="s">
        <v>199</v>
      </c>
      <c r="M635" s="542" t="s">
        <v>122</v>
      </c>
      <c r="N635" s="543"/>
      <c r="O635" s="544">
        <f>O636+O637</f>
        <v>0</v>
      </c>
      <c r="P635" s="544">
        <f>P636+P637</f>
        <v>0</v>
      </c>
      <c r="Q635" s="552">
        <f>Q636+Q637</f>
        <v>0</v>
      </c>
      <c r="R635" s="48"/>
      <c r="S635" s="48"/>
      <c r="T635" s="48"/>
      <c r="U635" s="48"/>
      <c r="V635" s="48"/>
    </row>
    <row r="636" spans="2:22" ht="29.25" customHeight="1" thickBot="1" x14ac:dyDescent="0.3">
      <c r="B636" s="1204"/>
      <c r="C636" s="1199"/>
      <c r="D636" s="609"/>
      <c r="E636" s="1199"/>
      <c r="F636" s="1201"/>
      <c r="G636" s="1201"/>
      <c r="H636" s="1204"/>
      <c r="I636" s="1199"/>
      <c r="J636" s="1204"/>
      <c r="K636" s="1199"/>
      <c r="L636" s="1192"/>
      <c r="M636" s="636" t="s">
        <v>123</v>
      </c>
      <c r="N636" s="549"/>
      <c r="O636" s="544">
        <v>0</v>
      </c>
      <c r="P636" s="544">
        <v>0</v>
      </c>
      <c r="Q636" s="675">
        <v>0</v>
      </c>
      <c r="R636" s="48"/>
      <c r="S636" s="48"/>
      <c r="T636" s="48"/>
      <c r="U636" s="48"/>
      <c r="V636" s="48"/>
    </row>
    <row r="637" spans="2:22" ht="26.25" customHeight="1" thickBot="1" x14ac:dyDescent="0.3">
      <c r="B637" s="1204"/>
      <c r="C637" s="1199"/>
      <c r="D637" s="609"/>
      <c r="E637" s="1199"/>
      <c r="F637" s="1201"/>
      <c r="G637" s="1201"/>
      <c r="H637" s="1204"/>
      <c r="I637" s="1199"/>
      <c r="J637" s="1204"/>
      <c r="K637" s="1199"/>
      <c r="L637" s="1192"/>
      <c r="M637" s="672" t="s">
        <v>124</v>
      </c>
      <c r="N637" s="550"/>
      <c r="O637" s="544">
        <v>0</v>
      </c>
      <c r="P637" s="544">
        <v>0</v>
      </c>
      <c r="Q637" s="675">
        <v>0</v>
      </c>
      <c r="R637" s="48"/>
      <c r="S637" s="48"/>
      <c r="T637" s="48"/>
      <c r="U637" s="48"/>
      <c r="V637" s="48"/>
    </row>
    <row r="638" spans="2:22" ht="30" customHeight="1" thickBot="1" x14ac:dyDescent="0.3">
      <c r="B638" s="1205"/>
      <c r="C638" s="1208"/>
      <c r="D638" s="628"/>
      <c r="E638" s="1208"/>
      <c r="F638" s="1202"/>
      <c r="G638" s="1202"/>
      <c r="H638" s="1205"/>
      <c r="I638" s="1208"/>
      <c r="J638" s="1205"/>
      <c r="K638" s="1208"/>
      <c r="L638" s="1216"/>
      <c r="M638" s="547" t="s">
        <v>745</v>
      </c>
      <c r="N638" s="549"/>
      <c r="O638" s="551">
        <v>720</v>
      </c>
      <c r="P638" s="551">
        <v>0</v>
      </c>
      <c r="Q638" s="552">
        <v>0</v>
      </c>
      <c r="R638" s="48"/>
      <c r="S638" s="48"/>
      <c r="T638" s="48"/>
      <c r="U638" s="48"/>
      <c r="V638" s="48"/>
    </row>
    <row r="639" spans="2:22" ht="30" customHeight="1" thickBot="1" x14ac:dyDescent="0.3">
      <c r="B639" s="1204" t="s">
        <v>173</v>
      </c>
      <c r="C639" s="1199" t="s">
        <v>291</v>
      </c>
      <c r="D639" s="689" t="s">
        <v>288</v>
      </c>
      <c r="E639" s="1199" t="s">
        <v>505</v>
      </c>
      <c r="F639" s="1201" t="s">
        <v>814</v>
      </c>
      <c r="G639" s="1201" t="s">
        <v>254</v>
      </c>
      <c r="H639" s="1204" t="s">
        <v>240</v>
      </c>
      <c r="I639" s="1199">
        <v>1</v>
      </c>
      <c r="J639" s="1204" t="s">
        <v>462</v>
      </c>
      <c r="K639" s="1199" t="s">
        <v>199</v>
      </c>
      <c r="L639" s="1192" t="s">
        <v>199</v>
      </c>
      <c r="M639" s="672" t="s">
        <v>122</v>
      </c>
      <c r="N639" s="550"/>
      <c r="O639" s="561">
        <f>O640+O641</f>
        <v>1671.49</v>
      </c>
      <c r="P639" s="561">
        <f>P640+P641</f>
        <v>0</v>
      </c>
      <c r="Q639" s="676">
        <f>Q640+Q641</f>
        <v>0</v>
      </c>
      <c r="R639" s="48"/>
      <c r="S639" s="48"/>
      <c r="T639" s="48"/>
      <c r="U639" s="48"/>
      <c r="V639" s="48"/>
    </row>
    <row r="640" spans="2:22" ht="30" customHeight="1" thickBot="1" x14ac:dyDescent="0.3">
      <c r="B640" s="1204"/>
      <c r="C640" s="1199"/>
      <c r="D640" s="609"/>
      <c r="E640" s="1199"/>
      <c r="F640" s="1201"/>
      <c r="G640" s="1201"/>
      <c r="H640" s="1204"/>
      <c r="I640" s="1199"/>
      <c r="J640" s="1204"/>
      <c r="K640" s="1199"/>
      <c r="L640" s="1192"/>
      <c r="M640" s="636" t="s">
        <v>123</v>
      </c>
      <c r="N640" s="549"/>
      <c r="O640" s="544">
        <v>0</v>
      </c>
      <c r="P640" s="544">
        <v>0</v>
      </c>
      <c r="Q640" s="675">
        <v>0</v>
      </c>
      <c r="R640" s="48"/>
      <c r="S640" s="48"/>
      <c r="T640" s="48"/>
      <c r="U640" s="48"/>
      <c r="V640" s="48"/>
    </row>
    <row r="641" spans="2:22" ht="30" customHeight="1" thickBot="1" x14ac:dyDescent="0.3">
      <c r="B641" s="1204"/>
      <c r="C641" s="1199"/>
      <c r="D641" s="609"/>
      <c r="E641" s="1199"/>
      <c r="F641" s="1201"/>
      <c r="G641" s="1201"/>
      <c r="H641" s="1204"/>
      <c r="I641" s="1199"/>
      <c r="J641" s="1204"/>
      <c r="K641" s="1199"/>
      <c r="L641" s="1192"/>
      <c r="M641" s="692" t="s">
        <v>124</v>
      </c>
      <c r="N641" s="563"/>
      <c r="O641" s="551">
        <v>1671.49</v>
      </c>
      <c r="P641" s="551">
        <v>0</v>
      </c>
      <c r="Q641" s="552">
        <v>0</v>
      </c>
      <c r="R641" s="48"/>
      <c r="S641" s="48"/>
      <c r="T641" s="48"/>
      <c r="U641" s="48"/>
      <c r="V641" s="48"/>
    </row>
    <row r="642" spans="2:22" ht="30" customHeight="1" thickBot="1" x14ac:dyDescent="0.3">
      <c r="B642" s="1204"/>
      <c r="C642" s="1199"/>
      <c r="D642" s="688"/>
      <c r="E642" s="1199"/>
      <c r="F642" s="1201"/>
      <c r="G642" s="1201"/>
      <c r="H642" s="1204"/>
      <c r="I642" s="1199"/>
      <c r="J642" s="1204"/>
      <c r="K642" s="1199"/>
      <c r="L642" s="1199"/>
      <c r="M642" s="671" t="s">
        <v>745</v>
      </c>
      <c r="N642" s="543"/>
      <c r="O642" s="544">
        <v>0</v>
      </c>
      <c r="P642" s="544">
        <v>0</v>
      </c>
      <c r="Q642" s="675">
        <v>0</v>
      </c>
      <c r="R642" s="48"/>
      <c r="S642" s="48"/>
      <c r="T642" s="48"/>
      <c r="U642" s="48"/>
      <c r="V642" s="48"/>
    </row>
    <row r="643" spans="2:22" ht="57" customHeight="1" thickBot="1" x14ac:dyDescent="0.3">
      <c r="B643" s="1206" t="s">
        <v>173</v>
      </c>
      <c r="C643" s="1207" t="s">
        <v>291</v>
      </c>
      <c r="D643" s="620" t="s">
        <v>288</v>
      </c>
      <c r="E643" s="1207" t="s">
        <v>505</v>
      </c>
      <c r="F643" s="1200" t="s">
        <v>815</v>
      </c>
      <c r="G643" s="1200" t="s">
        <v>254</v>
      </c>
      <c r="H643" s="1206" t="s">
        <v>240</v>
      </c>
      <c r="I643" s="1207">
        <v>1</v>
      </c>
      <c r="J643" s="1206" t="s">
        <v>462</v>
      </c>
      <c r="K643" s="1207" t="s">
        <v>199</v>
      </c>
      <c r="L643" s="1207" t="s">
        <v>199</v>
      </c>
      <c r="M643" s="542" t="s">
        <v>122</v>
      </c>
      <c r="N643" s="543"/>
      <c r="O643" s="544">
        <f>O644+O645</f>
        <v>2710.9679999999998</v>
      </c>
      <c r="P643" s="544">
        <f>P644+P645</f>
        <v>0</v>
      </c>
      <c r="Q643" s="552">
        <f>Q644+Q645</f>
        <v>0</v>
      </c>
      <c r="R643" s="48"/>
      <c r="S643" s="48"/>
      <c r="T643" s="48"/>
      <c r="U643" s="48"/>
      <c r="V643" s="48"/>
    </row>
    <row r="644" spans="2:22" ht="30" customHeight="1" thickBot="1" x14ac:dyDescent="0.3">
      <c r="B644" s="1204"/>
      <c r="C644" s="1199"/>
      <c r="D644" s="609"/>
      <c r="E644" s="1199"/>
      <c r="F644" s="1201"/>
      <c r="G644" s="1201"/>
      <c r="H644" s="1204"/>
      <c r="I644" s="1199"/>
      <c r="J644" s="1204"/>
      <c r="K644" s="1199"/>
      <c r="L644" s="1199"/>
      <c r="M644" s="636" t="s">
        <v>123</v>
      </c>
      <c r="N644" s="549"/>
      <c r="O644" s="544">
        <v>0</v>
      </c>
      <c r="P644" s="544">
        <v>0</v>
      </c>
      <c r="Q644" s="675">
        <v>0</v>
      </c>
      <c r="R644" s="48"/>
      <c r="S644" s="48"/>
      <c r="T644" s="48"/>
      <c r="U644" s="48"/>
      <c r="V644" s="48"/>
    </row>
    <row r="645" spans="2:22" ht="30" customHeight="1" thickBot="1" x14ac:dyDescent="0.3">
      <c r="B645" s="1204"/>
      <c r="C645" s="1199"/>
      <c r="D645" s="609"/>
      <c r="E645" s="1199"/>
      <c r="F645" s="1201"/>
      <c r="G645" s="1201"/>
      <c r="H645" s="1204"/>
      <c r="I645" s="1199"/>
      <c r="J645" s="1204"/>
      <c r="K645" s="1199"/>
      <c r="L645" s="1199"/>
      <c r="M645" s="672" t="s">
        <v>124</v>
      </c>
      <c r="N645" s="550"/>
      <c r="O645" s="544">
        <v>2710.9679999999998</v>
      </c>
      <c r="P645" s="544">
        <v>0</v>
      </c>
      <c r="Q645" s="675">
        <v>0</v>
      </c>
      <c r="R645" s="48"/>
      <c r="S645" s="48"/>
      <c r="T645" s="48"/>
      <c r="U645" s="48"/>
      <c r="V645" s="48"/>
    </row>
    <row r="646" spans="2:22" ht="30" customHeight="1" thickBot="1" x14ac:dyDescent="0.3">
      <c r="B646" s="1205"/>
      <c r="C646" s="1208"/>
      <c r="D646" s="628"/>
      <c r="E646" s="1208"/>
      <c r="F646" s="1202"/>
      <c r="G646" s="1202"/>
      <c r="H646" s="1205"/>
      <c r="I646" s="1208"/>
      <c r="J646" s="1205"/>
      <c r="K646" s="1208"/>
      <c r="L646" s="1208"/>
      <c r="M646" s="547" t="s">
        <v>745</v>
      </c>
      <c r="N646" s="549"/>
      <c r="O646" s="551">
        <v>0</v>
      </c>
      <c r="P646" s="551">
        <v>0</v>
      </c>
      <c r="Q646" s="552">
        <v>0</v>
      </c>
      <c r="R646" s="48"/>
      <c r="S646" s="48"/>
      <c r="T646" s="48"/>
      <c r="U646" s="48"/>
      <c r="V646" s="48"/>
    </row>
    <row r="647" spans="2:22" ht="39" customHeight="1" thickBot="1" x14ac:dyDescent="0.3">
      <c r="B647" s="1204" t="s">
        <v>173</v>
      </c>
      <c r="C647" s="1199" t="s">
        <v>291</v>
      </c>
      <c r="D647" s="689" t="s">
        <v>288</v>
      </c>
      <c r="E647" s="1199" t="s">
        <v>505</v>
      </c>
      <c r="F647" s="1201" t="s">
        <v>816</v>
      </c>
      <c r="G647" s="1201" t="s">
        <v>254</v>
      </c>
      <c r="H647" s="1204" t="s">
        <v>240</v>
      </c>
      <c r="I647" s="1199">
        <v>1</v>
      </c>
      <c r="J647" s="1204" t="s">
        <v>462</v>
      </c>
      <c r="K647" s="1199" t="s">
        <v>199</v>
      </c>
      <c r="L647" s="1199" t="s">
        <v>199</v>
      </c>
      <c r="M647" s="672" t="s">
        <v>122</v>
      </c>
      <c r="N647" s="550"/>
      <c r="O647" s="561">
        <f>O648+O649</f>
        <v>3591.11</v>
      </c>
      <c r="P647" s="561">
        <f>P648+P649</f>
        <v>0</v>
      </c>
      <c r="Q647" s="676">
        <f>Q648+Q649</f>
        <v>0</v>
      </c>
      <c r="R647" s="48"/>
      <c r="S647" s="48"/>
      <c r="T647" s="48"/>
      <c r="U647" s="48"/>
      <c r="V647" s="48"/>
    </row>
    <row r="648" spans="2:22" ht="30" customHeight="1" thickBot="1" x14ac:dyDescent="0.3">
      <c r="B648" s="1204"/>
      <c r="C648" s="1199"/>
      <c r="D648" s="609"/>
      <c r="E648" s="1199"/>
      <c r="F648" s="1201"/>
      <c r="G648" s="1201"/>
      <c r="H648" s="1204"/>
      <c r="I648" s="1199"/>
      <c r="J648" s="1204"/>
      <c r="K648" s="1199"/>
      <c r="L648" s="1199"/>
      <c r="M648" s="636" t="s">
        <v>123</v>
      </c>
      <c r="N648" s="549"/>
      <c r="O648" s="544">
        <v>0</v>
      </c>
      <c r="P648" s="544">
        <v>0</v>
      </c>
      <c r="Q648" s="675">
        <v>0</v>
      </c>
      <c r="R648" s="48"/>
      <c r="S648" s="48"/>
      <c r="T648" s="48"/>
      <c r="U648" s="48"/>
      <c r="V648" s="48"/>
    </row>
    <row r="649" spans="2:22" ht="30" customHeight="1" thickBot="1" x14ac:dyDescent="0.3">
      <c r="B649" s="1204"/>
      <c r="C649" s="1199"/>
      <c r="D649" s="609"/>
      <c r="E649" s="1199"/>
      <c r="F649" s="1201"/>
      <c r="G649" s="1201"/>
      <c r="H649" s="1204"/>
      <c r="I649" s="1199"/>
      <c r="J649" s="1204"/>
      <c r="K649" s="1199"/>
      <c r="L649" s="1199"/>
      <c r="M649" s="672" t="s">
        <v>124</v>
      </c>
      <c r="N649" s="550"/>
      <c r="O649" s="544">
        <v>3591.11</v>
      </c>
      <c r="P649" s="544">
        <v>0</v>
      </c>
      <c r="Q649" s="675">
        <v>0</v>
      </c>
      <c r="R649" s="48"/>
      <c r="S649" s="48"/>
      <c r="T649" s="48"/>
      <c r="U649" s="48"/>
      <c r="V649" s="48"/>
    </row>
    <row r="650" spans="2:22" ht="30" customHeight="1" thickBot="1" x14ac:dyDescent="0.3">
      <c r="B650" s="1204"/>
      <c r="C650" s="1199"/>
      <c r="D650" s="688"/>
      <c r="E650" s="1199"/>
      <c r="F650" s="1201"/>
      <c r="G650" s="1201"/>
      <c r="H650" s="1204"/>
      <c r="I650" s="1199"/>
      <c r="J650" s="1204"/>
      <c r="K650" s="1199"/>
      <c r="L650" s="1199"/>
      <c r="M650" s="671" t="s">
        <v>745</v>
      </c>
      <c r="N650" s="543"/>
      <c r="O650" s="544">
        <v>0</v>
      </c>
      <c r="P650" s="544">
        <v>0</v>
      </c>
      <c r="Q650" s="675">
        <v>0</v>
      </c>
      <c r="R650" s="48"/>
      <c r="S650" s="48"/>
      <c r="T650" s="48"/>
      <c r="U650" s="48"/>
      <c r="V650" s="48"/>
    </row>
    <row r="651" spans="2:22" ht="30" customHeight="1" thickBot="1" x14ac:dyDescent="0.3">
      <c r="B651" s="1206" t="s">
        <v>173</v>
      </c>
      <c r="C651" s="1207" t="s">
        <v>291</v>
      </c>
      <c r="D651" s="620" t="s">
        <v>288</v>
      </c>
      <c r="E651" s="1207" t="s">
        <v>505</v>
      </c>
      <c r="F651" s="1200" t="s">
        <v>874</v>
      </c>
      <c r="G651" s="1200" t="s">
        <v>254</v>
      </c>
      <c r="H651" s="1206" t="s">
        <v>240</v>
      </c>
      <c r="I651" s="1207">
        <v>1</v>
      </c>
      <c r="J651" s="1206" t="s">
        <v>462</v>
      </c>
      <c r="K651" s="1207" t="s">
        <v>199</v>
      </c>
      <c r="L651" s="1207" t="s">
        <v>199</v>
      </c>
      <c r="M651" s="542" t="s">
        <v>122</v>
      </c>
      <c r="N651" s="543"/>
      <c r="O651" s="544">
        <f>O652+O653</f>
        <v>3118.2950000000001</v>
      </c>
      <c r="P651" s="544">
        <f>P652+P653</f>
        <v>0</v>
      </c>
      <c r="Q651" s="552">
        <f>Q652+Q653</f>
        <v>0</v>
      </c>
      <c r="R651" s="48"/>
      <c r="S651" s="48"/>
      <c r="T651" s="48"/>
      <c r="U651" s="48"/>
      <c r="V651" s="48"/>
    </row>
    <row r="652" spans="2:22" ht="30" customHeight="1" thickBot="1" x14ac:dyDescent="0.3">
      <c r="B652" s="1204"/>
      <c r="C652" s="1199"/>
      <c r="D652" s="609"/>
      <c r="E652" s="1199"/>
      <c r="F652" s="1201"/>
      <c r="G652" s="1201"/>
      <c r="H652" s="1204"/>
      <c r="I652" s="1199"/>
      <c r="J652" s="1204"/>
      <c r="K652" s="1199"/>
      <c r="L652" s="1199"/>
      <c r="M652" s="636" t="s">
        <v>123</v>
      </c>
      <c r="N652" s="549"/>
      <c r="O652" s="544">
        <v>0</v>
      </c>
      <c r="P652" s="544">
        <v>0</v>
      </c>
      <c r="Q652" s="675">
        <v>0</v>
      </c>
      <c r="R652" s="48"/>
      <c r="S652" s="48"/>
      <c r="T652" s="48"/>
      <c r="U652" s="48"/>
      <c r="V652" s="48"/>
    </row>
    <row r="653" spans="2:22" ht="30" customHeight="1" thickBot="1" x14ac:dyDescent="0.3">
      <c r="B653" s="1204"/>
      <c r="C653" s="1199"/>
      <c r="D653" s="609"/>
      <c r="E653" s="1199"/>
      <c r="F653" s="1201"/>
      <c r="G653" s="1201"/>
      <c r="H653" s="1204"/>
      <c r="I653" s="1199"/>
      <c r="J653" s="1204"/>
      <c r="K653" s="1199"/>
      <c r="L653" s="1199"/>
      <c r="M653" s="672" t="s">
        <v>124</v>
      </c>
      <c r="N653" s="550"/>
      <c r="O653" s="544">
        <v>3118.2950000000001</v>
      </c>
      <c r="P653" s="544">
        <v>0</v>
      </c>
      <c r="Q653" s="675">
        <v>0</v>
      </c>
      <c r="R653" s="48"/>
      <c r="S653" s="48"/>
      <c r="T653" s="48"/>
      <c r="U653" s="48"/>
      <c r="V653" s="48"/>
    </row>
    <row r="654" spans="2:22" ht="30" customHeight="1" thickBot="1" x14ac:dyDescent="0.3">
      <c r="B654" s="1205"/>
      <c r="C654" s="1208"/>
      <c r="D654" s="628"/>
      <c r="E654" s="1208"/>
      <c r="F654" s="1202"/>
      <c r="G654" s="1202"/>
      <c r="H654" s="1205"/>
      <c r="I654" s="1208"/>
      <c r="J654" s="1205"/>
      <c r="K654" s="1208"/>
      <c r="L654" s="1208"/>
      <c r="M654" s="547" t="s">
        <v>745</v>
      </c>
      <c r="N654" s="549"/>
      <c r="O654" s="551">
        <v>0</v>
      </c>
      <c r="P654" s="551">
        <v>0</v>
      </c>
      <c r="Q654" s="552">
        <v>0</v>
      </c>
      <c r="R654" s="48"/>
      <c r="S654" s="48"/>
      <c r="T654" s="48"/>
      <c r="U654" s="48"/>
      <c r="V654" s="48"/>
    </row>
    <row r="655" spans="2:22" ht="78" customHeight="1" thickBot="1" x14ac:dyDescent="0.3">
      <c r="B655" s="1204" t="s">
        <v>173</v>
      </c>
      <c r="C655" s="1199" t="s">
        <v>291</v>
      </c>
      <c r="D655" s="689" t="s">
        <v>288</v>
      </c>
      <c r="E655" s="1199" t="s">
        <v>505</v>
      </c>
      <c r="F655" s="1201" t="s">
        <v>766</v>
      </c>
      <c r="G655" s="1201" t="s">
        <v>435</v>
      </c>
      <c r="H655" s="1204" t="s">
        <v>240</v>
      </c>
      <c r="I655" s="1199" t="s">
        <v>263</v>
      </c>
      <c r="J655" s="1204" t="s">
        <v>462</v>
      </c>
      <c r="K655" s="1199" t="s">
        <v>199</v>
      </c>
      <c r="L655" s="1199" t="s">
        <v>199</v>
      </c>
      <c r="M655" s="672" t="s">
        <v>122</v>
      </c>
      <c r="N655" s="550"/>
      <c r="O655" s="561">
        <f>O656+O657</f>
        <v>0</v>
      </c>
      <c r="P655" s="561">
        <f>P656+P657</f>
        <v>0</v>
      </c>
      <c r="Q655" s="562">
        <f>Q656+Q657</f>
        <v>0</v>
      </c>
      <c r="R655" s="48"/>
      <c r="S655" s="48"/>
      <c r="T655" s="48"/>
      <c r="U655" s="48"/>
      <c r="V655" s="48"/>
    </row>
    <row r="656" spans="2:22" ht="36" customHeight="1" thickBot="1" x14ac:dyDescent="0.3">
      <c r="B656" s="1204"/>
      <c r="C656" s="1199"/>
      <c r="D656" s="609"/>
      <c r="E656" s="1199"/>
      <c r="F656" s="1201"/>
      <c r="G656" s="1201"/>
      <c r="H656" s="1204"/>
      <c r="I656" s="1199"/>
      <c r="J656" s="1204"/>
      <c r="K656" s="1199"/>
      <c r="L656" s="1199"/>
      <c r="M656" s="636" t="s">
        <v>123</v>
      </c>
      <c r="N656" s="549"/>
      <c r="O656" s="544">
        <v>0</v>
      </c>
      <c r="P656" s="544">
        <v>0</v>
      </c>
      <c r="Q656" s="675">
        <v>0</v>
      </c>
      <c r="R656" s="48"/>
      <c r="S656" s="48"/>
      <c r="T656" s="48"/>
      <c r="U656" s="48"/>
      <c r="V656" s="48"/>
    </row>
    <row r="657" spans="2:22" ht="27" customHeight="1" thickBot="1" x14ac:dyDescent="0.3">
      <c r="B657" s="1204"/>
      <c r="C657" s="1199"/>
      <c r="D657" s="609"/>
      <c r="E657" s="1199"/>
      <c r="F657" s="1201"/>
      <c r="G657" s="1201"/>
      <c r="H657" s="1204"/>
      <c r="I657" s="1199"/>
      <c r="J657" s="1204"/>
      <c r="K657" s="1199"/>
      <c r="L657" s="1199"/>
      <c r="M657" s="672" t="s">
        <v>124</v>
      </c>
      <c r="N657" s="550"/>
      <c r="O657" s="544">
        <v>0</v>
      </c>
      <c r="P657" s="544">
        <v>0</v>
      </c>
      <c r="Q657" s="675">
        <v>0</v>
      </c>
      <c r="R657" s="48"/>
      <c r="S657" s="48"/>
      <c r="T657" s="48"/>
      <c r="U657" s="48"/>
      <c r="V657" s="48"/>
    </row>
    <row r="658" spans="2:22" ht="24.75" customHeight="1" thickBot="1" x14ac:dyDescent="0.3">
      <c r="B658" s="1204"/>
      <c r="C658" s="1199"/>
      <c r="D658" s="688"/>
      <c r="E658" s="1199"/>
      <c r="F658" s="1201"/>
      <c r="G658" s="1201"/>
      <c r="H658" s="1204"/>
      <c r="I658" s="1199"/>
      <c r="J658" s="1204"/>
      <c r="K658" s="1199"/>
      <c r="L658" s="1199"/>
      <c r="M658" s="671" t="s">
        <v>745</v>
      </c>
      <c r="N658" s="543"/>
      <c r="O658" s="544">
        <v>1200</v>
      </c>
      <c r="P658" s="544">
        <v>0</v>
      </c>
      <c r="Q658" s="675">
        <v>0</v>
      </c>
      <c r="R658" s="48"/>
      <c r="S658" s="48"/>
      <c r="T658" s="48"/>
      <c r="U658" s="48"/>
      <c r="V658" s="48"/>
    </row>
    <row r="659" spans="2:22" ht="23.25" customHeight="1" thickBot="1" x14ac:dyDescent="0.3">
      <c r="B659" s="1206" t="s">
        <v>173</v>
      </c>
      <c r="C659" s="1207" t="s">
        <v>295</v>
      </c>
      <c r="D659" s="620" t="s">
        <v>288</v>
      </c>
      <c r="E659" s="1207" t="s">
        <v>505</v>
      </c>
      <c r="F659" s="1200" t="s">
        <v>280</v>
      </c>
      <c r="G659" s="1207" t="s">
        <v>116</v>
      </c>
      <c r="H659" s="1206" t="s">
        <v>240</v>
      </c>
      <c r="I659" s="1207" t="s">
        <v>116</v>
      </c>
      <c r="J659" s="1206" t="s">
        <v>462</v>
      </c>
      <c r="K659" s="1207" t="s">
        <v>116</v>
      </c>
      <c r="L659" s="1215" t="s">
        <v>116</v>
      </c>
      <c r="M659" s="542" t="s">
        <v>122</v>
      </c>
      <c r="N659" s="543"/>
      <c r="O659" s="544">
        <f t="shared" ref="O659:Q660" si="15">O663+O667+O671+O675+O679+O683+O687+O691+O699</f>
        <v>8000.08</v>
      </c>
      <c r="P659" s="544">
        <f t="shared" si="15"/>
        <v>0</v>
      </c>
      <c r="Q659" s="675">
        <f t="shared" si="15"/>
        <v>0</v>
      </c>
      <c r="R659" s="48"/>
      <c r="S659" s="48"/>
      <c r="T659" s="48"/>
      <c r="U659" s="48"/>
      <c r="V659" s="48"/>
    </row>
    <row r="660" spans="2:22" ht="23.25" customHeight="1" thickBot="1" x14ac:dyDescent="0.3">
      <c r="B660" s="1204"/>
      <c r="C660" s="1199"/>
      <c r="D660" s="609"/>
      <c r="E660" s="1199"/>
      <c r="F660" s="1201"/>
      <c r="G660" s="1199"/>
      <c r="H660" s="1204"/>
      <c r="I660" s="1199"/>
      <c r="J660" s="1204"/>
      <c r="K660" s="1199"/>
      <c r="L660" s="1192"/>
      <c r="M660" s="636" t="s">
        <v>123</v>
      </c>
      <c r="N660" s="549"/>
      <c r="O660" s="544">
        <f t="shared" si="15"/>
        <v>0</v>
      </c>
      <c r="P660" s="544">
        <f t="shared" si="15"/>
        <v>0</v>
      </c>
      <c r="Q660" s="675">
        <f t="shared" si="15"/>
        <v>0</v>
      </c>
      <c r="R660" s="48"/>
      <c r="S660" s="48"/>
      <c r="T660" s="48"/>
      <c r="U660" s="48"/>
      <c r="V660" s="48"/>
    </row>
    <row r="661" spans="2:22" ht="24.75" customHeight="1" thickBot="1" x14ac:dyDescent="0.3">
      <c r="B661" s="1204"/>
      <c r="C661" s="1199"/>
      <c r="D661" s="609"/>
      <c r="E661" s="1199"/>
      <c r="F661" s="1201"/>
      <c r="G661" s="1199"/>
      <c r="H661" s="1204"/>
      <c r="I661" s="1199"/>
      <c r="J661" s="1204"/>
      <c r="K661" s="1199"/>
      <c r="L661" s="1192"/>
      <c r="M661" s="672" t="s">
        <v>124</v>
      </c>
      <c r="N661" s="550"/>
      <c r="O661" s="544">
        <f>O665+O669+O673+O677+O681+O685+O689+O693+O701+O697</f>
        <v>16801.34</v>
      </c>
      <c r="P661" s="544">
        <f>P665+P669+P673+P677+P681+P685+P689+P693+P701</f>
        <v>0</v>
      </c>
      <c r="Q661" s="675">
        <f>Q665+Q669+Q673+Q677+Q681+Q685+Q689+Q693+Q701</f>
        <v>0</v>
      </c>
      <c r="R661" s="48">
        <v>16801.34</v>
      </c>
      <c r="S661" s="48"/>
      <c r="T661" s="48"/>
      <c r="U661" s="48"/>
      <c r="V661" s="48"/>
    </row>
    <row r="662" spans="2:22" ht="23.25" customHeight="1" thickBot="1" x14ac:dyDescent="0.3">
      <c r="B662" s="1205"/>
      <c r="C662" s="1208"/>
      <c r="D662" s="628"/>
      <c r="E662" s="1208"/>
      <c r="F662" s="1202"/>
      <c r="G662" s="1208"/>
      <c r="H662" s="1205"/>
      <c r="I662" s="1208"/>
      <c r="J662" s="1205"/>
      <c r="K662" s="1208"/>
      <c r="L662" s="1216"/>
      <c r="M662" s="547" t="s">
        <v>745</v>
      </c>
      <c r="N662" s="549"/>
      <c r="O662" s="551">
        <f>O666+O670+O674+O678+O682+O686+O690+O694+O702</f>
        <v>34301.423999999999</v>
      </c>
      <c r="P662" s="551">
        <f>P666+P670+P674+P678+P682+P686+P690+P694+P702</f>
        <v>0</v>
      </c>
      <c r="Q662" s="552">
        <f>Q666+Q670+Q674+Q678+Q682+Q686+Q690+Q694+Q702</f>
        <v>0</v>
      </c>
      <c r="R662" s="707">
        <f>R661-O661</f>
        <v>0</v>
      </c>
      <c r="S662" s="48"/>
      <c r="T662" s="48"/>
      <c r="U662" s="48"/>
      <c r="V662" s="48"/>
    </row>
    <row r="663" spans="2:22" ht="28.5" customHeight="1" thickBot="1" x14ac:dyDescent="0.3">
      <c r="B663" s="1204" t="s">
        <v>173</v>
      </c>
      <c r="C663" s="1199" t="s">
        <v>295</v>
      </c>
      <c r="D663" s="689" t="s">
        <v>288</v>
      </c>
      <c r="E663" s="1199" t="s">
        <v>505</v>
      </c>
      <c r="F663" s="1267" t="s">
        <v>817</v>
      </c>
      <c r="G663" s="1267" t="s">
        <v>548</v>
      </c>
      <c r="H663" s="1204" t="s">
        <v>240</v>
      </c>
      <c r="I663" s="1199">
        <v>1</v>
      </c>
      <c r="J663" s="1204" t="s">
        <v>462</v>
      </c>
      <c r="K663" s="1199" t="s">
        <v>199</v>
      </c>
      <c r="L663" s="1199" t="s">
        <v>199</v>
      </c>
      <c r="M663" s="672" t="s">
        <v>122</v>
      </c>
      <c r="N663" s="550"/>
      <c r="O663" s="561">
        <f>O664+O665</f>
        <v>0</v>
      </c>
      <c r="P663" s="561">
        <f>P664+P665</f>
        <v>0</v>
      </c>
      <c r="Q663" s="562">
        <f>Q664+Q665</f>
        <v>0</v>
      </c>
      <c r="R663" s="48"/>
      <c r="S663" s="48"/>
      <c r="T663" s="48"/>
      <c r="U663" s="48"/>
      <c r="V663" s="48"/>
    </row>
    <row r="664" spans="2:22" ht="27" customHeight="1" thickBot="1" x14ac:dyDescent="0.3">
      <c r="B664" s="1204"/>
      <c r="C664" s="1199"/>
      <c r="D664" s="609"/>
      <c r="E664" s="1199"/>
      <c r="F664" s="1267"/>
      <c r="G664" s="1267"/>
      <c r="H664" s="1204"/>
      <c r="I664" s="1199"/>
      <c r="J664" s="1204"/>
      <c r="K664" s="1199"/>
      <c r="L664" s="1199"/>
      <c r="M664" s="636" t="s">
        <v>123</v>
      </c>
      <c r="N664" s="549"/>
      <c r="O664" s="544">
        <v>0</v>
      </c>
      <c r="P664" s="544">
        <v>0</v>
      </c>
      <c r="Q664" s="675">
        <v>0</v>
      </c>
      <c r="R664" s="48"/>
      <c r="S664" s="48"/>
      <c r="T664" s="48"/>
      <c r="U664" s="48"/>
      <c r="V664" s="48"/>
    </row>
    <row r="665" spans="2:22" ht="24" customHeight="1" thickBot="1" x14ac:dyDescent="0.3">
      <c r="B665" s="1204"/>
      <c r="C665" s="1199"/>
      <c r="D665" s="609"/>
      <c r="E665" s="1199"/>
      <c r="F665" s="1267"/>
      <c r="G665" s="1267"/>
      <c r="H665" s="1204"/>
      <c r="I665" s="1199"/>
      <c r="J665" s="1204"/>
      <c r="K665" s="1199"/>
      <c r="L665" s="1199"/>
      <c r="M665" s="672" t="s">
        <v>124</v>
      </c>
      <c r="N665" s="550"/>
      <c r="O665" s="544">
        <v>0</v>
      </c>
      <c r="P665" s="544">
        <v>0</v>
      </c>
      <c r="Q665" s="675">
        <v>0</v>
      </c>
      <c r="R665" s="48"/>
      <c r="S665" s="48"/>
      <c r="T665" s="48"/>
      <c r="U665" s="48"/>
      <c r="V665" s="48"/>
    </row>
    <row r="666" spans="2:22" ht="24" customHeight="1" thickBot="1" x14ac:dyDescent="0.3">
      <c r="B666" s="1241"/>
      <c r="C666" s="1199"/>
      <c r="D666" s="688"/>
      <c r="E666" s="1199"/>
      <c r="F666" s="1267"/>
      <c r="G666" s="1267"/>
      <c r="H666" s="1204"/>
      <c r="I666" s="1199"/>
      <c r="J666" s="1204"/>
      <c r="K666" s="1199"/>
      <c r="L666" s="1199"/>
      <c r="M666" s="671" t="s">
        <v>745</v>
      </c>
      <c r="N666" s="543"/>
      <c r="O666" s="544">
        <v>3078.806</v>
      </c>
      <c r="P666" s="544">
        <v>0</v>
      </c>
      <c r="Q666" s="675">
        <v>0</v>
      </c>
      <c r="R666" s="48"/>
      <c r="S666" s="48"/>
      <c r="T666" s="48"/>
      <c r="U666" s="48"/>
      <c r="V666" s="48"/>
    </row>
    <row r="667" spans="2:22" ht="24.75" customHeight="1" thickBot="1" x14ac:dyDescent="0.3">
      <c r="B667" s="1240" t="s">
        <v>173</v>
      </c>
      <c r="C667" s="1207" t="s">
        <v>295</v>
      </c>
      <c r="D667" s="620" t="s">
        <v>288</v>
      </c>
      <c r="E667" s="1207" t="s">
        <v>505</v>
      </c>
      <c r="F667" s="1200" t="s">
        <v>818</v>
      </c>
      <c r="G667" s="1200" t="s">
        <v>767</v>
      </c>
      <c r="H667" s="1206" t="s">
        <v>240</v>
      </c>
      <c r="I667" s="1207" t="s">
        <v>263</v>
      </c>
      <c r="J667" s="1206" t="s">
        <v>462</v>
      </c>
      <c r="K667" s="1207" t="s">
        <v>199</v>
      </c>
      <c r="L667" s="1207" t="s">
        <v>199</v>
      </c>
      <c r="M667" s="542" t="s">
        <v>122</v>
      </c>
      <c r="N667" s="543"/>
      <c r="O667" s="544">
        <f>O668+O669</f>
        <v>0</v>
      </c>
      <c r="P667" s="544">
        <f>P668+P669</f>
        <v>0</v>
      </c>
      <c r="Q667" s="675">
        <f>Q668+Q669</f>
        <v>0</v>
      </c>
      <c r="R667" s="48"/>
      <c r="S667" s="48"/>
      <c r="T667" s="48"/>
      <c r="U667" s="48"/>
      <c r="V667" s="48"/>
    </row>
    <row r="668" spans="2:22" ht="23.25" customHeight="1" thickBot="1" x14ac:dyDescent="0.3">
      <c r="B668" s="1204"/>
      <c r="C668" s="1199"/>
      <c r="D668" s="609"/>
      <c r="E668" s="1199"/>
      <c r="F668" s="1201"/>
      <c r="G668" s="1201"/>
      <c r="H668" s="1204"/>
      <c r="I668" s="1199"/>
      <c r="J668" s="1204"/>
      <c r="K668" s="1199"/>
      <c r="L668" s="1199"/>
      <c r="M668" s="636" t="s">
        <v>123</v>
      </c>
      <c r="N668" s="549"/>
      <c r="O668" s="544">
        <v>0</v>
      </c>
      <c r="P668" s="544">
        <v>0</v>
      </c>
      <c r="Q668" s="675">
        <v>0</v>
      </c>
      <c r="R668" s="48"/>
      <c r="S668" s="48"/>
      <c r="T668" s="48"/>
      <c r="U668" s="48"/>
      <c r="V668" s="48"/>
    </row>
    <row r="669" spans="2:22" ht="25.5" customHeight="1" thickBot="1" x14ac:dyDescent="0.3">
      <c r="B669" s="1204"/>
      <c r="C669" s="1199"/>
      <c r="D669" s="609"/>
      <c r="E669" s="1199"/>
      <c r="F669" s="1201"/>
      <c r="G669" s="1201"/>
      <c r="H669" s="1204"/>
      <c r="I669" s="1199"/>
      <c r="J669" s="1204"/>
      <c r="K669" s="1199"/>
      <c r="L669" s="1199"/>
      <c r="M669" s="672" t="s">
        <v>124</v>
      </c>
      <c r="N669" s="550"/>
      <c r="O669" s="544">
        <v>0</v>
      </c>
      <c r="P669" s="544">
        <v>0</v>
      </c>
      <c r="Q669" s="675">
        <v>0</v>
      </c>
      <c r="R669" s="48"/>
      <c r="S669" s="48"/>
      <c r="T669" s="48"/>
      <c r="U669" s="48"/>
      <c r="V669" s="48"/>
    </row>
    <row r="670" spans="2:22" ht="24" customHeight="1" thickBot="1" x14ac:dyDescent="0.3">
      <c r="B670" s="1204"/>
      <c r="C670" s="1199"/>
      <c r="D670" s="688"/>
      <c r="E670" s="1199"/>
      <c r="F670" s="1201"/>
      <c r="G670" s="1201"/>
      <c r="H670" s="1204"/>
      <c r="I670" s="1199"/>
      <c r="J670" s="1204"/>
      <c r="K670" s="1199"/>
      <c r="L670" s="1199"/>
      <c r="M670" s="671" t="s">
        <v>745</v>
      </c>
      <c r="N670" s="543"/>
      <c r="O670" s="544">
        <v>400</v>
      </c>
      <c r="P670" s="544">
        <v>0</v>
      </c>
      <c r="Q670" s="675">
        <v>0</v>
      </c>
      <c r="R670" s="48"/>
      <c r="S670" s="48"/>
      <c r="T670" s="48"/>
      <c r="U670" s="48"/>
      <c r="V670" s="48"/>
    </row>
    <row r="671" spans="2:22" ht="258" customHeight="1" thickBot="1" x14ac:dyDescent="0.3">
      <c r="B671" s="1206" t="s">
        <v>173</v>
      </c>
      <c r="C671" s="1207" t="s">
        <v>295</v>
      </c>
      <c r="D671" s="620" t="s">
        <v>288</v>
      </c>
      <c r="E671" s="1207" t="s">
        <v>505</v>
      </c>
      <c r="F671" s="1200" t="s">
        <v>768</v>
      </c>
      <c r="G671" s="1200" t="s">
        <v>435</v>
      </c>
      <c r="H671" s="1206" t="s">
        <v>240</v>
      </c>
      <c r="I671" s="1207" t="s">
        <v>664</v>
      </c>
      <c r="J671" s="1206" t="s">
        <v>462</v>
      </c>
      <c r="K671" s="1207" t="s">
        <v>199</v>
      </c>
      <c r="L671" s="1207" t="s">
        <v>199</v>
      </c>
      <c r="M671" s="542" t="s">
        <v>122</v>
      </c>
      <c r="N671" s="543"/>
      <c r="O671" s="544">
        <f>O672+O673</f>
        <v>0</v>
      </c>
      <c r="P671" s="544">
        <f>P672+P673</f>
        <v>0</v>
      </c>
      <c r="Q671" s="675">
        <f>Q672+Q673</f>
        <v>0</v>
      </c>
      <c r="R671" s="48"/>
      <c r="S671" s="48"/>
      <c r="T671" s="48"/>
      <c r="U671" s="48"/>
      <c r="V671" s="48"/>
    </row>
    <row r="672" spans="2:22" ht="38.25" customHeight="1" thickBot="1" x14ac:dyDescent="0.3">
      <c r="B672" s="1204"/>
      <c r="C672" s="1199"/>
      <c r="D672" s="609"/>
      <c r="E672" s="1199"/>
      <c r="F672" s="1201"/>
      <c r="G672" s="1201"/>
      <c r="H672" s="1204"/>
      <c r="I672" s="1199"/>
      <c r="J672" s="1204"/>
      <c r="K672" s="1199"/>
      <c r="L672" s="1199"/>
      <c r="M672" s="636" t="s">
        <v>123</v>
      </c>
      <c r="N672" s="549"/>
      <c r="O672" s="544">
        <v>0</v>
      </c>
      <c r="P672" s="544">
        <v>0</v>
      </c>
      <c r="Q672" s="675">
        <v>0</v>
      </c>
      <c r="R672" s="48"/>
      <c r="S672" s="48"/>
      <c r="T672" s="48"/>
      <c r="U672" s="48"/>
      <c r="V672" s="48"/>
    </row>
    <row r="673" spans="2:22" ht="27.75" customHeight="1" thickBot="1" x14ac:dyDescent="0.3">
      <c r="B673" s="1204"/>
      <c r="C673" s="1199"/>
      <c r="D673" s="609"/>
      <c r="E673" s="1199"/>
      <c r="F673" s="1201"/>
      <c r="G673" s="1201"/>
      <c r="H673" s="1204"/>
      <c r="I673" s="1199"/>
      <c r="J673" s="1204"/>
      <c r="K673" s="1199"/>
      <c r="L673" s="1199"/>
      <c r="M673" s="672" t="s">
        <v>124</v>
      </c>
      <c r="N673" s="550"/>
      <c r="O673" s="544">
        <v>0</v>
      </c>
      <c r="P673" s="544">
        <v>0</v>
      </c>
      <c r="Q673" s="675">
        <v>0</v>
      </c>
      <c r="R673" s="48"/>
      <c r="S673" s="48"/>
      <c r="T673" s="48"/>
      <c r="U673" s="48"/>
      <c r="V673" s="48"/>
    </row>
    <row r="674" spans="2:22" ht="30" customHeight="1" thickBot="1" x14ac:dyDescent="0.3">
      <c r="B674" s="1205"/>
      <c r="C674" s="1208"/>
      <c r="D674" s="628"/>
      <c r="E674" s="1208"/>
      <c r="F674" s="1202"/>
      <c r="G674" s="1202"/>
      <c r="H674" s="1205"/>
      <c r="I674" s="1208"/>
      <c r="J674" s="1205"/>
      <c r="K674" s="1208"/>
      <c r="L674" s="1208"/>
      <c r="M674" s="547" t="s">
        <v>745</v>
      </c>
      <c r="N674" s="549"/>
      <c r="O674" s="551">
        <v>6177.54</v>
      </c>
      <c r="P674" s="551">
        <v>0</v>
      </c>
      <c r="Q674" s="552">
        <v>0</v>
      </c>
      <c r="R674" s="48"/>
      <c r="S674" s="48"/>
      <c r="T674" s="48"/>
      <c r="U674" s="48"/>
      <c r="V674" s="48"/>
    </row>
    <row r="675" spans="2:22" ht="63.75" customHeight="1" thickBot="1" x14ac:dyDescent="0.3">
      <c r="B675" s="1204" t="s">
        <v>173</v>
      </c>
      <c r="C675" s="1199" t="s">
        <v>291</v>
      </c>
      <c r="D675" s="689" t="s">
        <v>288</v>
      </c>
      <c r="E675" s="1199" t="s">
        <v>505</v>
      </c>
      <c r="F675" s="1201" t="s">
        <v>769</v>
      </c>
      <c r="G675" s="1201" t="s">
        <v>190</v>
      </c>
      <c r="H675" s="1209" t="s">
        <v>240</v>
      </c>
      <c r="I675" s="1199" t="s">
        <v>263</v>
      </c>
      <c r="J675" s="1204" t="s">
        <v>462</v>
      </c>
      <c r="K675" s="1199" t="s">
        <v>199</v>
      </c>
      <c r="L675" s="1199" t="s">
        <v>199</v>
      </c>
      <c r="M675" s="672" t="s">
        <v>122</v>
      </c>
      <c r="N675" s="550"/>
      <c r="O675" s="561">
        <f>O676+O677</f>
        <v>0</v>
      </c>
      <c r="P675" s="561">
        <f>P676+P677</f>
        <v>0</v>
      </c>
      <c r="Q675" s="562">
        <f>Q676+Q677</f>
        <v>0</v>
      </c>
      <c r="R675" s="48"/>
      <c r="S675" s="48"/>
      <c r="T675" s="48"/>
      <c r="U675" s="48"/>
      <c r="V675" s="48"/>
    </row>
    <row r="676" spans="2:22" ht="23.25" customHeight="1" thickBot="1" x14ac:dyDescent="0.3">
      <c r="B676" s="1204"/>
      <c r="C676" s="1199"/>
      <c r="D676" s="609"/>
      <c r="E676" s="1199"/>
      <c r="F676" s="1201"/>
      <c r="G676" s="1201"/>
      <c r="H676" s="1209"/>
      <c r="I676" s="1199"/>
      <c r="J676" s="1204"/>
      <c r="K676" s="1199"/>
      <c r="L676" s="1199"/>
      <c r="M676" s="636" t="s">
        <v>123</v>
      </c>
      <c r="N676" s="549"/>
      <c r="O676" s="544">
        <v>0</v>
      </c>
      <c r="P676" s="544">
        <v>0</v>
      </c>
      <c r="Q676" s="675">
        <v>0</v>
      </c>
      <c r="R676" s="48"/>
      <c r="S676" s="48"/>
      <c r="T676" s="48"/>
      <c r="U676" s="48"/>
      <c r="V676" s="48"/>
    </row>
    <row r="677" spans="2:22" ht="24.75" customHeight="1" thickBot="1" x14ac:dyDescent="0.3">
      <c r="B677" s="1204"/>
      <c r="C677" s="1199"/>
      <c r="D677" s="609"/>
      <c r="E677" s="1199"/>
      <c r="F677" s="1201"/>
      <c r="G677" s="1201"/>
      <c r="H677" s="1209"/>
      <c r="I677" s="1199"/>
      <c r="J677" s="1204"/>
      <c r="K677" s="1199"/>
      <c r="L677" s="1199"/>
      <c r="M677" s="672" t="s">
        <v>124</v>
      </c>
      <c r="N677" s="550"/>
      <c r="O677" s="544">
        <v>0</v>
      </c>
      <c r="P677" s="544">
        <v>0</v>
      </c>
      <c r="Q677" s="675">
        <v>0</v>
      </c>
      <c r="R677" s="48"/>
      <c r="S677" s="48"/>
      <c r="T677" s="48"/>
      <c r="U677" s="48"/>
      <c r="V677" s="48"/>
    </row>
    <row r="678" spans="2:22" ht="25.5" customHeight="1" thickBot="1" x14ac:dyDescent="0.3">
      <c r="B678" s="1204"/>
      <c r="C678" s="1199"/>
      <c r="D678" s="688"/>
      <c r="E678" s="1199"/>
      <c r="F678" s="1201"/>
      <c r="G678" s="1201"/>
      <c r="H678" s="1209"/>
      <c r="I678" s="1199"/>
      <c r="J678" s="1204"/>
      <c r="K678" s="1199"/>
      <c r="L678" s="1199"/>
      <c r="M678" s="671" t="s">
        <v>745</v>
      </c>
      <c r="N678" s="543"/>
      <c r="O678" s="544">
        <v>10320.275</v>
      </c>
      <c r="P678" s="544">
        <v>0</v>
      </c>
      <c r="Q678" s="675">
        <v>0</v>
      </c>
      <c r="R678" s="48"/>
      <c r="S678" s="48"/>
      <c r="T678" s="48"/>
      <c r="U678" s="48"/>
      <c r="V678" s="48"/>
    </row>
    <row r="679" spans="2:22" ht="94.5" customHeight="1" thickBot="1" x14ac:dyDescent="0.3">
      <c r="B679" s="1206" t="s">
        <v>173</v>
      </c>
      <c r="C679" s="1207" t="s">
        <v>291</v>
      </c>
      <c r="D679" s="620" t="s">
        <v>288</v>
      </c>
      <c r="E679" s="1207" t="s">
        <v>505</v>
      </c>
      <c r="F679" s="1200" t="s">
        <v>819</v>
      </c>
      <c r="G679" s="1200" t="s">
        <v>190</v>
      </c>
      <c r="H679" s="1232" t="s">
        <v>240</v>
      </c>
      <c r="I679" s="1207" t="s">
        <v>263</v>
      </c>
      <c r="J679" s="1206" t="s">
        <v>462</v>
      </c>
      <c r="K679" s="1207" t="s">
        <v>199</v>
      </c>
      <c r="L679" s="1207" t="s">
        <v>199</v>
      </c>
      <c r="M679" s="542" t="s">
        <v>122</v>
      </c>
      <c r="N679" s="543"/>
      <c r="O679" s="544">
        <f>O680+O681</f>
        <v>0</v>
      </c>
      <c r="P679" s="544">
        <f>P680+P681</f>
        <v>0</v>
      </c>
      <c r="Q679" s="675">
        <f>Q680+Q681</f>
        <v>0</v>
      </c>
      <c r="R679" s="48"/>
      <c r="S679" s="48"/>
      <c r="T679" s="48"/>
      <c r="U679" s="48"/>
      <c r="V679" s="48"/>
    </row>
    <row r="680" spans="2:22" ht="21.75" customHeight="1" thickBot="1" x14ac:dyDescent="0.3">
      <c r="B680" s="1204"/>
      <c r="C680" s="1199"/>
      <c r="D680" s="609"/>
      <c r="E680" s="1199"/>
      <c r="F680" s="1201"/>
      <c r="G680" s="1201"/>
      <c r="H680" s="1209"/>
      <c r="I680" s="1199"/>
      <c r="J680" s="1204"/>
      <c r="K680" s="1199"/>
      <c r="L680" s="1199"/>
      <c r="M680" s="636" t="s">
        <v>123</v>
      </c>
      <c r="N680" s="549"/>
      <c r="O680" s="544">
        <v>0</v>
      </c>
      <c r="P680" s="544">
        <v>0</v>
      </c>
      <c r="Q680" s="675">
        <v>0</v>
      </c>
      <c r="R680" s="48"/>
      <c r="S680" s="48"/>
      <c r="T680" s="48"/>
      <c r="U680" s="48"/>
      <c r="V680" s="48"/>
    </row>
    <row r="681" spans="2:22" ht="23.25" customHeight="1" thickBot="1" x14ac:dyDescent="0.3">
      <c r="B681" s="1204"/>
      <c r="C681" s="1199"/>
      <c r="D681" s="609"/>
      <c r="E681" s="1199"/>
      <c r="F681" s="1201"/>
      <c r="G681" s="1201"/>
      <c r="H681" s="1209"/>
      <c r="I681" s="1199"/>
      <c r="J681" s="1204"/>
      <c r="K681" s="1199"/>
      <c r="L681" s="1199"/>
      <c r="M681" s="672" t="s">
        <v>124</v>
      </c>
      <c r="N681" s="550"/>
      <c r="O681" s="544">
        <v>0</v>
      </c>
      <c r="P681" s="544">
        <v>0</v>
      </c>
      <c r="Q681" s="675">
        <v>0</v>
      </c>
      <c r="R681" s="48"/>
      <c r="S681" s="48"/>
      <c r="T681" s="48"/>
      <c r="U681" s="48"/>
      <c r="V681" s="48"/>
    </row>
    <row r="682" spans="2:22" ht="24.75" customHeight="1" thickBot="1" x14ac:dyDescent="0.3">
      <c r="B682" s="1205"/>
      <c r="C682" s="1208"/>
      <c r="D682" s="628"/>
      <c r="E682" s="1208"/>
      <c r="F682" s="1202"/>
      <c r="G682" s="1202"/>
      <c r="H682" s="1210"/>
      <c r="I682" s="1208"/>
      <c r="J682" s="1205"/>
      <c r="K682" s="1208"/>
      <c r="L682" s="1208"/>
      <c r="M682" s="547" t="s">
        <v>745</v>
      </c>
      <c r="N682" s="549"/>
      <c r="O682" s="551">
        <f>1562.81+6663.99+4119.53+143.733</f>
        <v>12490.062999999998</v>
      </c>
      <c r="P682" s="551">
        <v>0</v>
      </c>
      <c r="Q682" s="552">
        <v>0</v>
      </c>
      <c r="R682" s="48"/>
      <c r="S682" s="48"/>
      <c r="T682" s="48"/>
      <c r="U682" s="48"/>
      <c r="V682" s="48"/>
    </row>
    <row r="683" spans="2:22" ht="27" customHeight="1" thickBot="1" x14ac:dyDescent="0.3">
      <c r="B683" s="1204" t="s">
        <v>173</v>
      </c>
      <c r="C683" s="1199" t="s">
        <v>291</v>
      </c>
      <c r="D683" s="689" t="s">
        <v>288</v>
      </c>
      <c r="E683" s="1199" t="s">
        <v>505</v>
      </c>
      <c r="F683" s="1201" t="s">
        <v>820</v>
      </c>
      <c r="G683" s="1201" t="s">
        <v>190</v>
      </c>
      <c r="H683" s="1209" t="s">
        <v>240</v>
      </c>
      <c r="I683" s="1199" t="s">
        <v>263</v>
      </c>
      <c r="J683" s="1204" t="s">
        <v>462</v>
      </c>
      <c r="K683" s="1199" t="s">
        <v>199</v>
      </c>
      <c r="L683" s="1199" t="s">
        <v>199</v>
      </c>
      <c r="M683" s="672" t="s">
        <v>122</v>
      </c>
      <c r="N683" s="550"/>
      <c r="O683" s="561">
        <f>O684+O685</f>
        <v>0</v>
      </c>
      <c r="P683" s="561">
        <f>P684+P685</f>
        <v>0</v>
      </c>
      <c r="Q683" s="562">
        <f>Q684+Q685</f>
        <v>0</v>
      </c>
      <c r="R683" s="48"/>
      <c r="S683" s="48"/>
      <c r="T683" s="48"/>
      <c r="U683" s="48"/>
      <c r="V683" s="48"/>
    </row>
    <row r="684" spans="2:22" ht="25.5" customHeight="1" thickBot="1" x14ac:dyDescent="0.3">
      <c r="B684" s="1204"/>
      <c r="C684" s="1199"/>
      <c r="D684" s="609"/>
      <c r="E684" s="1199"/>
      <c r="F684" s="1201"/>
      <c r="G684" s="1201"/>
      <c r="H684" s="1209"/>
      <c r="I684" s="1199"/>
      <c r="J684" s="1204"/>
      <c r="K684" s="1199"/>
      <c r="L684" s="1199"/>
      <c r="M684" s="636" t="s">
        <v>123</v>
      </c>
      <c r="N684" s="549"/>
      <c r="O684" s="544">
        <v>0</v>
      </c>
      <c r="P684" s="544">
        <v>0</v>
      </c>
      <c r="Q684" s="675">
        <v>0</v>
      </c>
      <c r="R684" s="48"/>
      <c r="S684" s="48"/>
      <c r="T684" s="48"/>
      <c r="U684" s="48"/>
      <c r="V684" s="48"/>
    </row>
    <row r="685" spans="2:22" ht="27" customHeight="1" thickBot="1" x14ac:dyDescent="0.3">
      <c r="B685" s="1204"/>
      <c r="C685" s="1199"/>
      <c r="D685" s="609"/>
      <c r="E685" s="1199"/>
      <c r="F685" s="1201"/>
      <c r="G685" s="1201"/>
      <c r="H685" s="1209"/>
      <c r="I685" s="1199"/>
      <c r="J685" s="1204"/>
      <c r="K685" s="1199"/>
      <c r="L685" s="1199"/>
      <c r="M685" s="672" t="s">
        <v>124</v>
      </c>
      <c r="N685" s="550"/>
      <c r="O685" s="544">
        <v>0</v>
      </c>
      <c r="P685" s="544">
        <v>0</v>
      </c>
      <c r="Q685" s="675">
        <v>0</v>
      </c>
      <c r="R685" s="48"/>
      <c r="S685" s="48"/>
      <c r="T685" s="48"/>
      <c r="U685" s="48"/>
      <c r="V685" s="48"/>
    </row>
    <row r="686" spans="2:22" ht="29.25" customHeight="1" thickBot="1" x14ac:dyDescent="0.3">
      <c r="B686" s="1204"/>
      <c r="C686" s="1199"/>
      <c r="D686" s="688"/>
      <c r="E686" s="1199"/>
      <c r="F686" s="1201"/>
      <c r="G686" s="1201"/>
      <c r="H686" s="1209"/>
      <c r="I686" s="1199"/>
      <c r="J686" s="1204"/>
      <c r="K686" s="1199"/>
      <c r="L686" s="1199"/>
      <c r="M686" s="671" t="s">
        <v>745</v>
      </c>
      <c r="N686" s="543"/>
      <c r="O686" s="544">
        <v>301.10000000000002</v>
      </c>
      <c r="P686" s="544">
        <v>0</v>
      </c>
      <c r="Q686" s="675">
        <v>0</v>
      </c>
      <c r="R686" s="48"/>
      <c r="S686" s="48"/>
      <c r="T686" s="48"/>
      <c r="U686" s="48"/>
      <c r="V686" s="48"/>
    </row>
    <row r="687" spans="2:22" ht="51" customHeight="1" thickBot="1" x14ac:dyDescent="0.3">
      <c r="B687" s="1206" t="s">
        <v>173</v>
      </c>
      <c r="C687" s="1207" t="s">
        <v>291</v>
      </c>
      <c r="D687" s="620" t="s">
        <v>288</v>
      </c>
      <c r="E687" s="1207" t="s">
        <v>505</v>
      </c>
      <c r="F687" s="1200" t="s">
        <v>770</v>
      </c>
      <c r="G687" s="1200" t="s">
        <v>190</v>
      </c>
      <c r="H687" s="1232" t="s">
        <v>240</v>
      </c>
      <c r="I687" s="1207" t="s">
        <v>263</v>
      </c>
      <c r="J687" s="1206" t="s">
        <v>462</v>
      </c>
      <c r="K687" s="1207" t="s">
        <v>199</v>
      </c>
      <c r="L687" s="1207" t="s">
        <v>199</v>
      </c>
      <c r="M687" s="542" t="s">
        <v>122</v>
      </c>
      <c r="N687" s="543"/>
      <c r="O687" s="544">
        <f>O688+O689</f>
        <v>0</v>
      </c>
      <c r="P687" s="544">
        <f>P688+P689</f>
        <v>0</v>
      </c>
      <c r="Q687" s="675">
        <f>Q688+Q689</f>
        <v>0</v>
      </c>
      <c r="R687" s="48"/>
      <c r="S687" s="48"/>
      <c r="T687" s="48"/>
      <c r="U687" s="48"/>
      <c r="V687" s="48"/>
    </row>
    <row r="688" spans="2:22" ht="22.5" customHeight="1" thickBot="1" x14ac:dyDescent="0.3">
      <c r="B688" s="1204"/>
      <c r="C688" s="1199"/>
      <c r="D688" s="609"/>
      <c r="E688" s="1199"/>
      <c r="F688" s="1201"/>
      <c r="G688" s="1201"/>
      <c r="H688" s="1209"/>
      <c r="I688" s="1199"/>
      <c r="J688" s="1204"/>
      <c r="K688" s="1199"/>
      <c r="L688" s="1199"/>
      <c r="M688" s="636" t="s">
        <v>123</v>
      </c>
      <c r="N688" s="549"/>
      <c r="O688" s="544">
        <v>0</v>
      </c>
      <c r="P688" s="544">
        <v>0</v>
      </c>
      <c r="Q688" s="675">
        <v>0</v>
      </c>
      <c r="R688" s="48"/>
      <c r="S688" s="48"/>
      <c r="T688" s="48"/>
      <c r="U688" s="48"/>
      <c r="V688" s="48"/>
    </row>
    <row r="689" spans="2:22" ht="24.75" customHeight="1" thickBot="1" x14ac:dyDescent="0.3">
      <c r="B689" s="1204"/>
      <c r="C689" s="1199"/>
      <c r="D689" s="609"/>
      <c r="E689" s="1199"/>
      <c r="F689" s="1201"/>
      <c r="G689" s="1201"/>
      <c r="H689" s="1209"/>
      <c r="I689" s="1199"/>
      <c r="J689" s="1204"/>
      <c r="K689" s="1199"/>
      <c r="L689" s="1199"/>
      <c r="M689" s="672" t="s">
        <v>124</v>
      </c>
      <c r="N689" s="550"/>
      <c r="O689" s="544">
        <v>0</v>
      </c>
      <c r="P689" s="544">
        <v>0</v>
      </c>
      <c r="Q689" s="675">
        <v>0</v>
      </c>
      <c r="R689" s="48"/>
      <c r="S689" s="48"/>
      <c r="T689" s="48"/>
      <c r="U689" s="48"/>
      <c r="V689" s="48"/>
    </row>
    <row r="690" spans="2:22" ht="23.25" customHeight="1" thickBot="1" x14ac:dyDescent="0.3">
      <c r="B690" s="1205"/>
      <c r="C690" s="1208"/>
      <c r="D690" s="628"/>
      <c r="E690" s="1208"/>
      <c r="F690" s="1202"/>
      <c r="G690" s="1202"/>
      <c r="H690" s="1210"/>
      <c r="I690" s="1208"/>
      <c r="J690" s="1205"/>
      <c r="K690" s="1208"/>
      <c r="L690" s="1208"/>
      <c r="M690" s="547" t="s">
        <v>745</v>
      </c>
      <c r="N690" s="549"/>
      <c r="O690" s="551">
        <v>133.63999999999999</v>
      </c>
      <c r="P690" s="551">
        <v>0</v>
      </c>
      <c r="Q690" s="552">
        <v>0</v>
      </c>
      <c r="R690" s="48"/>
      <c r="S690" s="48"/>
      <c r="T690" s="48"/>
      <c r="U690" s="48"/>
      <c r="V690" s="48"/>
    </row>
    <row r="691" spans="2:22" ht="24" customHeight="1" thickBot="1" x14ac:dyDescent="0.3">
      <c r="B691" s="1206" t="s">
        <v>173</v>
      </c>
      <c r="C691" s="1207" t="s">
        <v>291</v>
      </c>
      <c r="D691" s="620" t="s">
        <v>288</v>
      </c>
      <c r="E691" s="1207" t="s">
        <v>505</v>
      </c>
      <c r="F691" s="1200" t="s">
        <v>771</v>
      </c>
      <c r="G691" s="1200" t="s">
        <v>190</v>
      </c>
      <c r="H691" s="1232" t="s">
        <v>240</v>
      </c>
      <c r="I691" s="1207" t="s">
        <v>263</v>
      </c>
      <c r="J691" s="1206" t="s">
        <v>462</v>
      </c>
      <c r="K691" s="1207" t="s">
        <v>199</v>
      </c>
      <c r="L691" s="1207" t="s">
        <v>199</v>
      </c>
      <c r="M691" s="542" t="s">
        <v>122</v>
      </c>
      <c r="N691" s="543"/>
      <c r="O691" s="544">
        <f>O692+O693</f>
        <v>0</v>
      </c>
      <c r="P691" s="544">
        <f>P692+P693+P694</f>
        <v>0</v>
      </c>
      <c r="Q691" s="675">
        <f>Q692+Q693+Q694</f>
        <v>0</v>
      </c>
      <c r="R691" s="48"/>
      <c r="S691" s="48"/>
      <c r="T691" s="48"/>
      <c r="U691" s="48"/>
      <c r="V691" s="48"/>
    </row>
    <row r="692" spans="2:22" ht="21.75" customHeight="1" thickBot="1" x14ac:dyDescent="0.3">
      <c r="B692" s="1204"/>
      <c r="C692" s="1199"/>
      <c r="D692" s="609"/>
      <c r="E692" s="1199"/>
      <c r="F692" s="1201"/>
      <c r="G692" s="1201"/>
      <c r="H692" s="1209"/>
      <c r="I692" s="1199"/>
      <c r="J692" s="1204"/>
      <c r="K692" s="1199"/>
      <c r="L692" s="1199"/>
      <c r="M692" s="636" t="s">
        <v>123</v>
      </c>
      <c r="N692" s="549"/>
      <c r="O692" s="544">
        <v>0</v>
      </c>
      <c r="P692" s="544">
        <v>0</v>
      </c>
      <c r="Q692" s="675">
        <v>0</v>
      </c>
      <c r="R692" s="48"/>
      <c r="S692" s="48"/>
      <c r="T692" s="48"/>
      <c r="U692" s="48"/>
      <c r="V692" s="48"/>
    </row>
    <row r="693" spans="2:22" ht="23.25" customHeight="1" thickBot="1" x14ac:dyDescent="0.3">
      <c r="B693" s="1204"/>
      <c r="C693" s="1199"/>
      <c r="D693" s="609"/>
      <c r="E693" s="1199"/>
      <c r="F693" s="1201"/>
      <c r="G693" s="1201"/>
      <c r="H693" s="1209"/>
      <c r="I693" s="1199"/>
      <c r="J693" s="1204"/>
      <c r="K693" s="1199"/>
      <c r="L693" s="1199"/>
      <c r="M693" s="672" t="s">
        <v>124</v>
      </c>
      <c r="N693" s="550"/>
      <c r="O693" s="544">
        <v>0</v>
      </c>
      <c r="P693" s="544">
        <v>0</v>
      </c>
      <c r="Q693" s="675">
        <v>0</v>
      </c>
      <c r="R693" s="48"/>
      <c r="S693" s="48"/>
      <c r="T693" s="48"/>
      <c r="U693" s="48"/>
      <c r="V693" s="48"/>
    </row>
    <row r="694" spans="2:22" ht="23.25" customHeight="1" thickBot="1" x14ac:dyDescent="0.3">
      <c r="B694" s="1205"/>
      <c r="C694" s="1208"/>
      <c r="D694" s="628"/>
      <c r="E694" s="1208"/>
      <c r="F694" s="1202"/>
      <c r="G694" s="1202"/>
      <c r="H694" s="1210"/>
      <c r="I694" s="1208"/>
      <c r="J694" s="1205"/>
      <c r="K694" s="1208"/>
      <c r="L694" s="1208"/>
      <c r="M694" s="547" t="s">
        <v>745</v>
      </c>
      <c r="N694" s="549"/>
      <c r="O694" s="551">
        <v>1400</v>
      </c>
      <c r="P694" s="551">
        <v>0</v>
      </c>
      <c r="Q694" s="552">
        <v>0</v>
      </c>
      <c r="R694" s="48"/>
      <c r="S694" s="48"/>
      <c r="T694" s="48"/>
      <c r="U694" s="48"/>
      <c r="V694" s="48"/>
    </row>
    <row r="695" spans="2:22" ht="64.5" customHeight="1" thickBot="1" x14ac:dyDescent="0.3">
      <c r="B695" s="1206" t="s">
        <v>172</v>
      </c>
      <c r="C695" s="1207" t="s">
        <v>919</v>
      </c>
      <c r="D695" s="620" t="s">
        <v>920</v>
      </c>
      <c r="E695" s="1207" t="s">
        <v>505</v>
      </c>
      <c r="F695" s="1200" t="s">
        <v>921</v>
      </c>
      <c r="G695" s="1200" t="s">
        <v>548</v>
      </c>
      <c r="H695" s="1206" t="s">
        <v>240</v>
      </c>
      <c r="I695" s="1207">
        <v>3</v>
      </c>
      <c r="J695" s="1206" t="s">
        <v>462</v>
      </c>
      <c r="K695" s="1207" t="s">
        <v>199</v>
      </c>
      <c r="L695" s="1207" t="s">
        <v>199</v>
      </c>
      <c r="M695" s="542" t="s">
        <v>122</v>
      </c>
      <c r="N695" s="543"/>
      <c r="O695" s="544">
        <f>O696+O697</f>
        <v>8801.26</v>
      </c>
      <c r="P695" s="544">
        <f>P696+P697+P698</f>
        <v>0</v>
      </c>
      <c r="Q695" s="675">
        <f>Q696+Q697+Q698</f>
        <v>0</v>
      </c>
      <c r="R695" s="48"/>
      <c r="S695" s="48"/>
      <c r="T695" s="48"/>
      <c r="U695" s="48"/>
      <c r="V695" s="48"/>
    </row>
    <row r="696" spans="2:22" ht="54" customHeight="1" thickBot="1" x14ac:dyDescent="0.3">
      <c r="B696" s="1204"/>
      <c r="C696" s="1199"/>
      <c r="D696" s="688"/>
      <c r="E696" s="1199"/>
      <c r="F696" s="1201"/>
      <c r="G696" s="1201"/>
      <c r="H696" s="1204"/>
      <c r="I696" s="1199"/>
      <c r="J696" s="1204"/>
      <c r="K696" s="1199"/>
      <c r="L696" s="1199"/>
      <c r="M696" s="636" t="s">
        <v>123</v>
      </c>
      <c r="N696" s="549"/>
      <c r="O696" s="544">
        <v>0</v>
      </c>
      <c r="P696" s="544">
        <v>0</v>
      </c>
      <c r="Q696" s="675">
        <v>0</v>
      </c>
      <c r="R696" s="48"/>
      <c r="S696" s="48"/>
      <c r="T696" s="48"/>
      <c r="U696" s="48"/>
      <c r="V696" s="48"/>
    </row>
    <row r="697" spans="2:22" ht="44.25" customHeight="1" thickBot="1" x14ac:dyDescent="0.3">
      <c r="B697" s="1204"/>
      <c r="C697" s="1199"/>
      <c r="D697" s="688"/>
      <c r="E697" s="1199"/>
      <c r="F697" s="1201"/>
      <c r="G697" s="1201"/>
      <c r="H697" s="1204"/>
      <c r="I697" s="1199"/>
      <c r="J697" s="1204"/>
      <c r="K697" s="1199"/>
      <c r="L697" s="1199"/>
      <c r="M697" s="672" t="s">
        <v>124</v>
      </c>
      <c r="N697" s="550"/>
      <c r="O697" s="551">
        <v>8801.26</v>
      </c>
      <c r="P697" s="551">
        <v>0</v>
      </c>
      <c r="Q697" s="552">
        <v>0</v>
      </c>
      <c r="R697" s="48"/>
      <c r="S697" s="48"/>
      <c r="T697" s="48"/>
      <c r="U697" s="48"/>
      <c r="V697" s="48"/>
    </row>
    <row r="698" spans="2:22" ht="33" customHeight="1" thickBot="1" x14ac:dyDescent="0.3">
      <c r="B698" s="1205"/>
      <c r="C698" s="1208"/>
      <c r="D698" s="628"/>
      <c r="E698" s="1208"/>
      <c r="F698" s="1202"/>
      <c r="G698" s="1202"/>
      <c r="H698" s="1205"/>
      <c r="I698" s="1208"/>
      <c r="J698" s="1205"/>
      <c r="K698" s="1208"/>
      <c r="L698" s="1208"/>
      <c r="M698" s="547" t="s">
        <v>745</v>
      </c>
      <c r="N698" s="549"/>
      <c r="O698" s="551">
        <v>0</v>
      </c>
      <c r="P698" s="551">
        <v>0</v>
      </c>
      <c r="Q698" s="552">
        <v>0</v>
      </c>
      <c r="R698" s="48"/>
      <c r="S698" s="48"/>
      <c r="T698" s="48"/>
      <c r="U698" s="48"/>
      <c r="V698" s="48"/>
    </row>
    <row r="699" spans="2:22" ht="27.75" customHeight="1" thickBot="1" x14ac:dyDescent="0.3">
      <c r="B699" s="1206" t="s">
        <v>173</v>
      </c>
      <c r="C699" s="1207" t="s">
        <v>295</v>
      </c>
      <c r="D699" s="620" t="s">
        <v>288</v>
      </c>
      <c r="E699" s="1207" t="s">
        <v>505</v>
      </c>
      <c r="F699" s="1200" t="s">
        <v>922</v>
      </c>
      <c r="G699" s="1200" t="s">
        <v>548</v>
      </c>
      <c r="H699" s="1206" t="s">
        <v>240</v>
      </c>
      <c r="I699" s="1207">
        <v>1</v>
      </c>
      <c r="J699" s="1206" t="s">
        <v>462</v>
      </c>
      <c r="K699" s="1207" t="s">
        <v>199</v>
      </c>
      <c r="L699" s="1207" t="s">
        <v>199</v>
      </c>
      <c r="M699" s="542" t="s">
        <v>122</v>
      </c>
      <c r="N699" s="543"/>
      <c r="O699" s="544">
        <f>O700+O701</f>
        <v>8000.08</v>
      </c>
      <c r="P699" s="544">
        <f>P700+P701+P702</f>
        <v>0</v>
      </c>
      <c r="Q699" s="675">
        <f>Q700+Q701+Q702</f>
        <v>0</v>
      </c>
      <c r="R699" s="48"/>
      <c r="S699" s="48"/>
      <c r="T699" s="48"/>
      <c r="U699" s="48"/>
      <c r="V699" s="48"/>
    </row>
    <row r="700" spans="2:22" ht="24.75" customHeight="1" thickBot="1" x14ac:dyDescent="0.3">
      <c r="B700" s="1204"/>
      <c r="C700" s="1199"/>
      <c r="D700" s="688"/>
      <c r="E700" s="1199"/>
      <c r="F700" s="1201"/>
      <c r="G700" s="1201"/>
      <c r="H700" s="1204"/>
      <c r="I700" s="1199"/>
      <c r="J700" s="1204"/>
      <c r="K700" s="1199"/>
      <c r="L700" s="1199"/>
      <c r="M700" s="636" t="s">
        <v>123</v>
      </c>
      <c r="N700" s="549"/>
      <c r="O700" s="544">
        <v>0</v>
      </c>
      <c r="P700" s="544">
        <v>0</v>
      </c>
      <c r="Q700" s="675">
        <v>0</v>
      </c>
      <c r="R700" s="48"/>
      <c r="S700" s="48"/>
      <c r="T700" s="48"/>
      <c r="U700" s="48"/>
      <c r="V700" s="48"/>
    </row>
    <row r="701" spans="2:22" ht="23.25" customHeight="1" thickBot="1" x14ac:dyDescent="0.3">
      <c r="B701" s="1204"/>
      <c r="C701" s="1199"/>
      <c r="D701" s="688"/>
      <c r="E701" s="1199"/>
      <c r="F701" s="1201"/>
      <c r="G701" s="1201"/>
      <c r="H701" s="1204"/>
      <c r="I701" s="1199"/>
      <c r="J701" s="1204"/>
      <c r="K701" s="1199"/>
      <c r="L701" s="1199"/>
      <c r="M701" s="672" t="s">
        <v>124</v>
      </c>
      <c r="N701" s="550"/>
      <c r="O701" s="551">
        <v>8000.08</v>
      </c>
      <c r="P701" s="551">
        <v>0</v>
      </c>
      <c r="Q701" s="552">
        <v>0</v>
      </c>
      <c r="R701" s="48"/>
      <c r="S701" s="48"/>
      <c r="T701" s="48"/>
      <c r="U701" s="48"/>
      <c r="V701" s="48"/>
    </row>
    <row r="702" spans="2:22" ht="60" customHeight="1" thickBot="1" x14ac:dyDescent="0.3">
      <c r="B702" s="1205"/>
      <c r="C702" s="1208"/>
      <c r="D702" s="628"/>
      <c r="E702" s="1208"/>
      <c r="F702" s="1202"/>
      <c r="G702" s="1202"/>
      <c r="H702" s="1205"/>
      <c r="I702" s="1208"/>
      <c r="J702" s="1205"/>
      <c r="K702" s="1208"/>
      <c r="L702" s="1208"/>
      <c r="M702" s="547" t="s">
        <v>745</v>
      </c>
      <c r="N702" s="549"/>
      <c r="O702" s="551">
        <v>0</v>
      </c>
      <c r="P702" s="551">
        <v>0</v>
      </c>
      <c r="Q702" s="552">
        <v>0</v>
      </c>
      <c r="R702" s="48"/>
      <c r="S702" s="48"/>
      <c r="T702" s="48"/>
      <c r="U702" s="48"/>
      <c r="V702" s="48"/>
    </row>
    <row r="703" spans="2:22" ht="122.25" customHeight="1" thickBot="1" x14ac:dyDescent="0.3">
      <c r="B703" s="1206" t="s">
        <v>174</v>
      </c>
      <c r="C703" s="1229" t="s">
        <v>116</v>
      </c>
      <c r="D703" s="1207" t="s">
        <v>116</v>
      </c>
      <c r="E703" s="1207" t="s">
        <v>116</v>
      </c>
      <c r="F703" s="1229" t="s">
        <v>597</v>
      </c>
      <c r="G703" s="581" t="s">
        <v>258</v>
      </c>
      <c r="H703" s="654" t="s">
        <v>241</v>
      </c>
      <c r="I703" s="593">
        <v>90</v>
      </c>
      <c r="J703" s="1206" t="s">
        <v>462</v>
      </c>
      <c r="K703" s="593">
        <v>90</v>
      </c>
      <c r="L703" s="593">
        <v>90</v>
      </c>
      <c r="M703" s="542" t="s">
        <v>122</v>
      </c>
      <c r="N703" s="1248">
        <f>N709+N721+N737+N744</f>
        <v>0</v>
      </c>
      <c r="O703" s="698">
        <f t="shared" ref="O703:Q706" si="16">O709+O721+O733</f>
        <v>8286.4</v>
      </c>
      <c r="P703" s="698">
        <f t="shared" si="16"/>
        <v>8286.4</v>
      </c>
      <c r="Q703" s="656">
        <f t="shared" si="16"/>
        <v>8286.4</v>
      </c>
      <c r="R703" s="48"/>
      <c r="S703" s="48"/>
      <c r="T703" s="48"/>
      <c r="U703" s="48"/>
      <c r="V703" s="48"/>
    </row>
    <row r="704" spans="2:22" s="48" customFormat="1" ht="109.5" customHeight="1" thickBot="1" x14ac:dyDescent="0.3">
      <c r="B704" s="1204"/>
      <c r="C704" s="1230"/>
      <c r="D704" s="1199"/>
      <c r="E704" s="1199"/>
      <c r="F704" s="1230"/>
      <c r="G704" s="576" t="s">
        <v>219</v>
      </c>
      <c r="H704" s="555" t="s">
        <v>241</v>
      </c>
      <c r="I704" s="594">
        <v>67</v>
      </c>
      <c r="J704" s="1204"/>
      <c r="K704" s="594">
        <v>67</v>
      </c>
      <c r="L704" s="594">
        <v>67</v>
      </c>
      <c r="M704" s="636" t="s">
        <v>123</v>
      </c>
      <c r="N704" s="1249"/>
      <c r="O704" s="699">
        <f t="shared" si="16"/>
        <v>0</v>
      </c>
      <c r="P704" s="699">
        <f t="shared" si="16"/>
        <v>0</v>
      </c>
      <c r="Q704" s="597">
        <f t="shared" si="16"/>
        <v>0</v>
      </c>
    </row>
    <row r="705" spans="2:22" s="48" customFormat="1" ht="51" customHeight="1" thickBot="1" x14ac:dyDescent="0.3">
      <c r="B705" s="1204"/>
      <c r="C705" s="1230"/>
      <c r="D705" s="1199"/>
      <c r="E705" s="1199"/>
      <c r="F705" s="1230"/>
      <c r="G705" s="576" t="s">
        <v>218</v>
      </c>
      <c r="H705" s="555" t="s">
        <v>240</v>
      </c>
      <c r="I705" s="594">
        <v>3</v>
      </c>
      <c r="J705" s="1204"/>
      <c r="K705" s="594">
        <v>3</v>
      </c>
      <c r="L705" s="594">
        <v>3</v>
      </c>
      <c r="M705" s="672" t="s">
        <v>124</v>
      </c>
      <c r="N705" s="1249"/>
      <c r="O705" s="699">
        <f t="shared" si="16"/>
        <v>8286.4</v>
      </c>
      <c r="P705" s="699">
        <f t="shared" si="16"/>
        <v>8286.4</v>
      </c>
      <c r="Q705" s="597">
        <f t="shared" si="16"/>
        <v>8286.4</v>
      </c>
    </row>
    <row r="706" spans="2:22" s="48" customFormat="1" ht="39" customHeight="1" thickBot="1" x14ac:dyDescent="0.3">
      <c r="B706" s="1204"/>
      <c r="C706" s="1230"/>
      <c r="D706" s="1199"/>
      <c r="E706" s="1199"/>
      <c r="F706" s="1230"/>
      <c r="G706" s="576" t="s">
        <v>217</v>
      </c>
      <c r="H706" s="555" t="s">
        <v>240</v>
      </c>
      <c r="I706" s="594">
        <v>2</v>
      </c>
      <c r="J706" s="1204"/>
      <c r="K706" s="594">
        <v>2</v>
      </c>
      <c r="L706" s="594">
        <v>2</v>
      </c>
      <c r="M706" s="547" t="s">
        <v>745</v>
      </c>
      <c r="N706" s="1249"/>
      <c r="O706" s="699">
        <f t="shared" si="16"/>
        <v>0</v>
      </c>
      <c r="P706" s="699">
        <f t="shared" si="16"/>
        <v>0</v>
      </c>
      <c r="Q706" s="597">
        <f t="shared" si="16"/>
        <v>0</v>
      </c>
    </row>
    <row r="707" spans="2:22" s="48" customFormat="1" ht="53.25" customHeight="1" x14ac:dyDescent="0.25">
      <c r="B707" s="1204"/>
      <c r="C707" s="1230"/>
      <c r="D707" s="1199"/>
      <c r="E707" s="1199"/>
      <c r="F707" s="1230"/>
      <c r="G707" s="576" t="s">
        <v>216</v>
      </c>
      <c r="H707" s="555" t="s">
        <v>240</v>
      </c>
      <c r="I707" s="594">
        <v>6</v>
      </c>
      <c r="J707" s="1204"/>
      <c r="K707" s="594">
        <v>6</v>
      </c>
      <c r="L707" s="594">
        <v>6</v>
      </c>
      <c r="M707" s="1206"/>
      <c r="N707" s="1249"/>
      <c r="O707" s="1211"/>
      <c r="P707" s="1211"/>
      <c r="Q707" s="1213"/>
    </row>
    <row r="708" spans="2:22" s="48" customFormat="1" ht="38.25" customHeight="1" thickBot="1" x14ac:dyDescent="0.3">
      <c r="B708" s="1205"/>
      <c r="C708" s="1231"/>
      <c r="D708" s="1208"/>
      <c r="E708" s="1208"/>
      <c r="F708" s="1231"/>
      <c r="G708" s="591" t="s">
        <v>526</v>
      </c>
      <c r="H708" s="558" t="s">
        <v>240</v>
      </c>
      <c r="I708" s="592">
        <v>18</v>
      </c>
      <c r="J708" s="1205"/>
      <c r="K708" s="592">
        <v>18</v>
      </c>
      <c r="L708" s="592">
        <v>18</v>
      </c>
      <c r="M708" s="1205"/>
      <c r="N708" s="1279"/>
      <c r="O708" s="1212"/>
      <c r="P708" s="1212"/>
      <c r="Q708" s="1214"/>
    </row>
    <row r="709" spans="2:22" ht="24" customHeight="1" thickBot="1" x14ac:dyDescent="0.3">
      <c r="B709" s="1204" t="s">
        <v>174</v>
      </c>
      <c r="C709" s="1199" t="s">
        <v>598</v>
      </c>
      <c r="D709" s="689" t="s">
        <v>116</v>
      </c>
      <c r="E709" s="1199" t="s">
        <v>116</v>
      </c>
      <c r="F709" s="1201" t="s">
        <v>298</v>
      </c>
      <c r="G709" s="1201" t="s">
        <v>456</v>
      </c>
      <c r="H709" s="1199" t="s">
        <v>241</v>
      </c>
      <c r="I709" s="1199">
        <f>I713+I717</f>
        <v>146</v>
      </c>
      <c r="J709" s="1204" t="s">
        <v>462</v>
      </c>
      <c r="K709" s="1199">
        <f>K713+K717</f>
        <v>157</v>
      </c>
      <c r="L709" s="1199">
        <f>L713+L717</f>
        <v>157</v>
      </c>
      <c r="M709" s="672" t="s">
        <v>122</v>
      </c>
      <c r="N709" s="550"/>
      <c r="O709" s="561">
        <f>O710+O711+O712</f>
        <v>2336.4</v>
      </c>
      <c r="P709" s="561">
        <f>P710+P711+P712</f>
        <v>2336.4</v>
      </c>
      <c r="Q709" s="562">
        <f>Q710+Q711+Q712</f>
        <v>2336.4</v>
      </c>
      <c r="R709" s="48"/>
      <c r="S709" s="48"/>
      <c r="T709" s="48"/>
      <c r="U709" s="48"/>
      <c r="V709" s="48"/>
    </row>
    <row r="710" spans="2:22" ht="21.75" customHeight="1" thickBot="1" x14ac:dyDescent="0.3">
      <c r="B710" s="1204"/>
      <c r="C710" s="1199"/>
      <c r="D710" s="555"/>
      <c r="E710" s="1199"/>
      <c r="F710" s="1201"/>
      <c r="G710" s="1201"/>
      <c r="H710" s="1199"/>
      <c r="I710" s="1199"/>
      <c r="J710" s="1204"/>
      <c r="K710" s="1199"/>
      <c r="L710" s="1199"/>
      <c r="M710" s="636" t="s">
        <v>123</v>
      </c>
      <c r="N710" s="549"/>
      <c r="O710" s="544">
        <v>0</v>
      </c>
      <c r="P710" s="544">
        <v>0</v>
      </c>
      <c r="Q710" s="675">
        <v>0</v>
      </c>
      <c r="R710" s="48"/>
      <c r="S710" s="48"/>
      <c r="T710" s="48"/>
      <c r="U710" s="48"/>
      <c r="V710" s="48"/>
    </row>
    <row r="711" spans="2:22" ht="22.5" customHeight="1" thickBot="1" x14ac:dyDescent="0.3">
      <c r="B711" s="1204"/>
      <c r="C711" s="1199"/>
      <c r="D711" s="555"/>
      <c r="E711" s="1199"/>
      <c r="F711" s="1201"/>
      <c r="G711" s="1201"/>
      <c r="H711" s="1199"/>
      <c r="I711" s="1199"/>
      <c r="J711" s="1204"/>
      <c r="K711" s="1199"/>
      <c r="L711" s="1199"/>
      <c r="M711" s="672" t="s">
        <v>124</v>
      </c>
      <c r="N711" s="550"/>
      <c r="O711" s="544">
        <f>O715+O719</f>
        <v>2336.4</v>
      </c>
      <c r="P711" s="544">
        <f>P715+P719</f>
        <v>2336.4</v>
      </c>
      <c r="Q711" s="675">
        <f>Q715+Q719</f>
        <v>2336.4</v>
      </c>
      <c r="R711" s="48"/>
      <c r="S711" s="48"/>
      <c r="T711" s="48"/>
      <c r="U711" s="48"/>
      <c r="V711" s="48"/>
    </row>
    <row r="712" spans="2:22" ht="21.75" customHeight="1" thickBot="1" x14ac:dyDescent="0.3">
      <c r="B712" s="1204"/>
      <c r="C712" s="1199"/>
      <c r="D712" s="680"/>
      <c r="E712" s="1199"/>
      <c r="F712" s="1201"/>
      <c r="G712" s="1201"/>
      <c r="H712" s="1199"/>
      <c r="I712" s="1199"/>
      <c r="J712" s="1204"/>
      <c r="K712" s="1199"/>
      <c r="L712" s="1199"/>
      <c r="M712" s="671" t="s">
        <v>745</v>
      </c>
      <c r="N712" s="543"/>
      <c r="O712" s="544">
        <v>0</v>
      </c>
      <c r="P712" s="544">
        <v>0</v>
      </c>
      <c r="Q712" s="675">
        <v>0</v>
      </c>
      <c r="R712" s="48"/>
      <c r="S712" s="48"/>
      <c r="T712" s="48"/>
      <c r="U712" s="48"/>
      <c r="V712" s="48"/>
    </row>
    <row r="713" spans="2:22" ht="57" customHeight="1" thickBot="1" x14ac:dyDescent="0.3">
      <c r="B713" s="1206" t="s">
        <v>174</v>
      </c>
      <c r="C713" s="1207" t="s">
        <v>598</v>
      </c>
      <c r="D713" s="654">
        <v>10108</v>
      </c>
      <c r="E713" s="1207" t="s">
        <v>192</v>
      </c>
      <c r="F713" s="1200" t="s">
        <v>376</v>
      </c>
      <c r="G713" s="1200" t="s">
        <v>677</v>
      </c>
      <c r="H713" s="1207" t="s">
        <v>241</v>
      </c>
      <c r="I713" s="1207">
        <v>90</v>
      </c>
      <c r="J713" s="1206" t="s">
        <v>462</v>
      </c>
      <c r="K713" s="1207">
        <v>90</v>
      </c>
      <c r="L713" s="1207">
        <v>90</v>
      </c>
      <c r="M713" s="542" t="s">
        <v>122</v>
      </c>
      <c r="N713" s="543"/>
      <c r="O713" s="544">
        <f>O714+O715+O716</f>
        <v>1452</v>
      </c>
      <c r="P713" s="544">
        <f>P714+P715+P716</f>
        <v>1452</v>
      </c>
      <c r="Q713" s="675">
        <f>Q714+Q715+Q716</f>
        <v>1452</v>
      </c>
      <c r="R713" s="48"/>
      <c r="S713" s="48"/>
      <c r="T713" s="48"/>
      <c r="U713" s="48"/>
      <c r="V713" s="48"/>
    </row>
    <row r="714" spans="2:22" ht="22.5" customHeight="1" thickBot="1" x14ac:dyDescent="0.3">
      <c r="B714" s="1204"/>
      <c r="C714" s="1199"/>
      <c r="D714" s="555"/>
      <c r="E714" s="1199"/>
      <c r="F714" s="1201"/>
      <c r="G714" s="1201"/>
      <c r="H714" s="1199"/>
      <c r="I714" s="1199"/>
      <c r="J714" s="1204"/>
      <c r="K714" s="1199"/>
      <c r="L714" s="1199"/>
      <c r="M714" s="636" t="s">
        <v>123</v>
      </c>
      <c r="N714" s="549"/>
      <c r="O714" s="544">
        <v>0</v>
      </c>
      <c r="P714" s="544">
        <v>0</v>
      </c>
      <c r="Q714" s="675">
        <v>0</v>
      </c>
      <c r="R714" s="48"/>
      <c r="S714" s="48"/>
      <c r="T714" s="48"/>
      <c r="U714" s="48"/>
      <c r="V714" s="48"/>
    </row>
    <row r="715" spans="2:22" ht="24" customHeight="1" thickBot="1" x14ac:dyDescent="0.3">
      <c r="B715" s="1204"/>
      <c r="C715" s="1199"/>
      <c r="D715" s="555"/>
      <c r="E715" s="1199"/>
      <c r="F715" s="1201"/>
      <c r="G715" s="1201"/>
      <c r="H715" s="1199"/>
      <c r="I715" s="1199"/>
      <c r="J715" s="1204"/>
      <c r="K715" s="1199"/>
      <c r="L715" s="1199"/>
      <c r="M715" s="672" t="s">
        <v>124</v>
      </c>
      <c r="N715" s="550"/>
      <c r="O715" s="544">
        <v>1452</v>
      </c>
      <c r="P715" s="544">
        <v>1452</v>
      </c>
      <c r="Q715" s="675">
        <v>1452</v>
      </c>
      <c r="R715" s="48"/>
      <c r="S715" s="48"/>
      <c r="T715" s="48"/>
      <c r="U715" s="48"/>
      <c r="V715" s="48"/>
    </row>
    <row r="716" spans="2:22" ht="21.75" customHeight="1" thickBot="1" x14ac:dyDescent="0.3">
      <c r="B716" s="1205"/>
      <c r="C716" s="1208"/>
      <c r="D716" s="558"/>
      <c r="E716" s="1208"/>
      <c r="F716" s="1202"/>
      <c r="G716" s="1202"/>
      <c r="H716" s="1208"/>
      <c r="I716" s="1208"/>
      <c r="J716" s="1205"/>
      <c r="K716" s="1208"/>
      <c r="L716" s="1208"/>
      <c r="M716" s="547" t="s">
        <v>745</v>
      </c>
      <c r="N716" s="549"/>
      <c r="O716" s="551">
        <v>0</v>
      </c>
      <c r="P716" s="551">
        <v>0</v>
      </c>
      <c r="Q716" s="552">
        <v>0</v>
      </c>
      <c r="R716" s="48"/>
      <c r="S716" s="48"/>
      <c r="T716" s="48"/>
      <c r="U716" s="48"/>
      <c r="V716" s="48"/>
    </row>
    <row r="717" spans="2:22" ht="30" customHeight="1" thickBot="1" x14ac:dyDescent="0.3">
      <c r="B717" s="1204" t="s">
        <v>174</v>
      </c>
      <c r="C717" s="1192" t="s">
        <v>598</v>
      </c>
      <c r="D717" s="682">
        <v>10108</v>
      </c>
      <c r="E717" s="1199" t="s">
        <v>622</v>
      </c>
      <c r="F717" s="1201" t="s">
        <v>375</v>
      </c>
      <c r="G717" s="1201" t="s">
        <v>676</v>
      </c>
      <c r="H717" s="1199" t="s">
        <v>241</v>
      </c>
      <c r="I717" s="1199">
        <f>58-2</f>
        <v>56</v>
      </c>
      <c r="J717" s="1204" t="s">
        <v>462</v>
      </c>
      <c r="K717" s="1199">
        <v>67</v>
      </c>
      <c r="L717" s="1199">
        <v>67</v>
      </c>
      <c r="M717" s="672" t="s">
        <v>122</v>
      </c>
      <c r="N717" s="550"/>
      <c r="O717" s="561">
        <f>O718+O719+O720</f>
        <v>884.4</v>
      </c>
      <c r="P717" s="561">
        <f>P718+P719+P720</f>
        <v>884.4</v>
      </c>
      <c r="Q717" s="562">
        <f>Q718+Q719+Q720</f>
        <v>884.4</v>
      </c>
      <c r="R717" s="48"/>
      <c r="S717" s="48"/>
      <c r="T717" s="48"/>
      <c r="U717" s="48"/>
      <c r="V717" s="48"/>
    </row>
    <row r="718" spans="2:22" ht="21.75" customHeight="1" thickBot="1" x14ac:dyDescent="0.3">
      <c r="B718" s="1204"/>
      <c r="C718" s="1192"/>
      <c r="D718" s="555"/>
      <c r="E718" s="1199"/>
      <c r="F718" s="1201"/>
      <c r="G718" s="1201"/>
      <c r="H718" s="1199"/>
      <c r="I718" s="1199"/>
      <c r="J718" s="1204"/>
      <c r="K718" s="1199"/>
      <c r="L718" s="1199"/>
      <c r="M718" s="636" t="s">
        <v>123</v>
      </c>
      <c r="N718" s="549"/>
      <c r="O718" s="544">
        <v>0</v>
      </c>
      <c r="P718" s="544">
        <v>0</v>
      </c>
      <c r="Q718" s="675">
        <v>0</v>
      </c>
      <c r="R718" s="48"/>
      <c r="S718" s="48"/>
      <c r="T718" s="48"/>
      <c r="U718" s="48"/>
      <c r="V718" s="48"/>
    </row>
    <row r="719" spans="2:22" ht="21.75" customHeight="1" thickBot="1" x14ac:dyDescent="0.3">
      <c r="B719" s="1204"/>
      <c r="C719" s="1192"/>
      <c r="D719" s="555"/>
      <c r="E719" s="1199"/>
      <c r="F719" s="1201"/>
      <c r="G719" s="1201"/>
      <c r="H719" s="1199"/>
      <c r="I719" s="1199"/>
      <c r="J719" s="1204"/>
      <c r="K719" s="1199"/>
      <c r="L719" s="1199"/>
      <c r="M719" s="672" t="s">
        <v>124</v>
      </c>
      <c r="N719" s="550"/>
      <c r="O719" s="544">
        <v>884.4</v>
      </c>
      <c r="P719" s="544">
        <v>884.4</v>
      </c>
      <c r="Q719" s="675">
        <v>884.4</v>
      </c>
      <c r="R719" s="48"/>
      <c r="S719" s="48"/>
      <c r="T719" s="48"/>
      <c r="U719" s="48"/>
      <c r="V719" s="48"/>
    </row>
    <row r="720" spans="2:22" ht="21.75" customHeight="1" thickBot="1" x14ac:dyDescent="0.3">
      <c r="B720" s="1241"/>
      <c r="C720" s="1239"/>
      <c r="D720" s="555"/>
      <c r="E720" s="1237"/>
      <c r="F720" s="1235"/>
      <c r="G720" s="1235"/>
      <c r="H720" s="1237"/>
      <c r="I720" s="1237"/>
      <c r="J720" s="1241"/>
      <c r="K720" s="1237"/>
      <c r="L720" s="1237"/>
      <c r="M720" s="547" t="s">
        <v>745</v>
      </c>
      <c r="N720" s="549"/>
      <c r="O720" s="551">
        <v>0</v>
      </c>
      <c r="P720" s="551">
        <v>0</v>
      </c>
      <c r="Q720" s="552">
        <v>0</v>
      </c>
      <c r="R720" s="48"/>
      <c r="S720" s="48"/>
      <c r="T720" s="48"/>
      <c r="U720" s="48"/>
      <c r="V720" s="48"/>
    </row>
    <row r="721" spans="2:22" ht="21.75" customHeight="1" thickBot="1" x14ac:dyDescent="0.3">
      <c r="B721" s="1240" t="s">
        <v>174</v>
      </c>
      <c r="C721" s="1236">
        <v>10108</v>
      </c>
      <c r="D721" s="609" t="s">
        <v>116</v>
      </c>
      <c r="E721" s="1236" t="s">
        <v>116</v>
      </c>
      <c r="F721" s="1234" t="s">
        <v>297</v>
      </c>
      <c r="G721" s="1234" t="s">
        <v>455</v>
      </c>
      <c r="H721" s="1236" t="s">
        <v>240</v>
      </c>
      <c r="I721" s="1236">
        <f>I725+I729</f>
        <v>5</v>
      </c>
      <c r="J721" s="1240" t="s">
        <v>462</v>
      </c>
      <c r="K721" s="1236">
        <f>K725+K729</f>
        <v>5</v>
      </c>
      <c r="L721" s="1236">
        <f>L725+L729</f>
        <v>5</v>
      </c>
      <c r="M721" s="542" t="s">
        <v>122</v>
      </c>
      <c r="N721" s="543"/>
      <c r="O721" s="544">
        <f>O722+O723+O724</f>
        <v>1150</v>
      </c>
      <c r="P721" s="544">
        <f>P722+P723+P724</f>
        <v>1150</v>
      </c>
      <c r="Q721" s="675">
        <f>Q722+Q723+Q724</f>
        <v>1150</v>
      </c>
      <c r="R721" s="48"/>
      <c r="S721" s="48"/>
      <c r="T721" s="48"/>
      <c r="U721" s="48"/>
      <c r="V721" s="48"/>
    </row>
    <row r="722" spans="2:22" ht="22.5" customHeight="1" thickBot="1" x14ac:dyDescent="0.3">
      <c r="B722" s="1204"/>
      <c r="C722" s="1199"/>
      <c r="D722" s="609"/>
      <c r="E722" s="1199"/>
      <c r="F722" s="1201"/>
      <c r="G722" s="1201"/>
      <c r="H722" s="1199"/>
      <c r="I722" s="1199"/>
      <c r="J722" s="1204"/>
      <c r="K722" s="1199"/>
      <c r="L722" s="1199"/>
      <c r="M722" s="636" t="s">
        <v>123</v>
      </c>
      <c r="N722" s="549"/>
      <c r="O722" s="544">
        <v>0</v>
      </c>
      <c r="P722" s="544">
        <v>0</v>
      </c>
      <c r="Q722" s="675">
        <v>0</v>
      </c>
      <c r="R722" s="48"/>
      <c r="S722" s="48"/>
      <c r="T722" s="48"/>
      <c r="U722" s="48"/>
      <c r="V722" s="48"/>
    </row>
    <row r="723" spans="2:22" ht="23.25" customHeight="1" thickBot="1" x14ac:dyDescent="0.3">
      <c r="B723" s="1204"/>
      <c r="C723" s="1199"/>
      <c r="D723" s="609"/>
      <c r="E723" s="1199"/>
      <c r="F723" s="1201"/>
      <c r="G723" s="1201"/>
      <c r="H723" s="1199"/>
      <c r="I723" s="1199"/>
      <c r="J723" s="1204"/>
      <c r="K723" s="1199"/>
      <c r="L723" s="1199"/>
      <c r="M723" s="672" t="s">
        <v>124</v>
      </c>
      <c r="N723" s="550"/>
      <c r="O723" s="544">
        <f>O727+O731</f>
        <v>1150</v>
      </c>
      <c r="P723" s="544">
        <f>P727+P731</f>
        <v>1150</v>
      </c>
      <c r="Q723" s="675">
        <f>Q727+Q731</f>
        <v>1150</v>
      </c>
      <c r="R723" s="48"/>
      <c r="S723" s="48"/>
      <c r="T723" s="48"/>
      <c r="U723" s="48"/>
      <c r="V723" s="48"/>
    </row>
    <row r="724" spans="2:22" ht="21.75" customHeight="1" thickBot="1" x14ac:dyDescent="0.3">
      <c r="B724" s="1241"/>
      <c r="C724" s="1237"/>
      <c r="D724" s="609"/>
      <c r="E724" s="1237"/>
      <c r="F724" s="1235"/>
      <c r="G724" s="1235"/>
      <c r="H724" s="1237"/>
      <c r="I724" s="1237"/>
      <c r="J724" s="1241"/>
      <c r="K724" s="1237"/>
      <c r="L724" s="1237"/>
      <c r="M724" s="547" t="s">
        <v>745</v>
      </c>
      <c r="N724" s="549"/>
      <c r="O724" s="551">
        <v>0</v>
      </c>
      <c r="P724" s="551">
        <v>0</v>
      </c>
      <c r="Q724" s="552">
        <v>0</v>
      </c>
      <c r="R724" s="48"/>
      <c r="S724" s="48"/>
      <c r="T724" s="48"/>
      <c r="U724" s="48"/>
      <c r="V724" s="48"/>
    </row>
    <row r="725" spans="2:22" ht="26.25" customHeight="1" thickBot="1" x14ac:dyDescent="0.3">
      <c r="B725" s="1240" t="s">
        <v>174</v>
      </c>
      <c r="C725" s="1236">
        <v>10108</v>
      </c>
      <c r="D725" s="609">
        <v>27300364</v>
      </c>
      <c r="E725" s="1236" t="s">
        <v>192</v>
      </c>
      <c r="F725" s="1234" t="s">
        <v>370</v>
      </c>
      <c r="G725" s="1234" t="s">
        <v>218</v>
      </c>
      <c r="H725" s="1236" t="s">
        <v>240</v>
      </c>
      <c r="I725" s="1236" t="s">
        <v>373</v>
      </c>
      <c r="J725" s="1240" t="s">
        <v>462</v>
      </c>
      <c r="K725" s="1236" t="s">
        <v>373</v>
      </c>
      <c r="L725" s="1236" t="s">
        <v>373</v>
      </c>
      <c r="M725" s="542" t="s">
        <v>122</v>
      </c>
      <c r="N725" s="543"/>
      <c r="O725" s="544">
        <f>O726+O727+O728</f>
        <v>690</v>
      </c>
      <c r="P725" s="544">
        <f>P726+P727+P728</f>
        <v>690</v>
      </c>
      <c r="Q725" s="675">
        <f>Q726+Q727+Q728</f>
        <v>690</v>
      </c>
      <c r="R725" s="48"/>
      <c r="S725" s="48"/>
      <c r="T725" s="48"/>
      <c r="U725" s="48"/>
      <c r="V725" s="48"/>
    </row>
    <row r="726" spans="2:22" ht="26.25" customHeight="1" thickBot="1" x14ac:dyDescent="0.3">
      <c r="B726" s="1204"/>
      <c r="C726" s="1199"/>
      <c r="D726" s="609"/>
      <c r="E726" s="1199"/>
      <c r="F726" s="1201"/>
      <c r="G726" s="1201"/>
      <c r="H726" s="1199"/>
      <c r="I726" s="1199"/>
      <c r="J726" s="1204"/>
      <c r="K726" s="1199"/>
      <c r="L726" s="1199"/>
      <c r="M726" s="636" t="s">
        <v>123</v>
      </c>
      <c r="N726" s="549"/>
      <c r="O726" s="544">
        <v>0</v>
      </c>
      <c r="P726" s="544">
        <v>0</v>
      </c>
      <c r="Q726" s="675">
        <v>0</v>
      </c>
      <c r="R726" s="48"/>
      <c r="S726" s="48"/>
      <c r="T726" s="48"/>
      <c r="U726" s="48"/>
      <c r="V726" s="48"/>
    </row>
    <row r="727" spans="2:22" ht="25.5" customHeight="1" thickBot="1" x14ac:dyDescent="0.3">
      <c r="B727" s="1204"/>
      <c r="C727" s="1199"/>
      <c r="D727" s="609"/>
      <c r="E727" s="1199"/>
      <c r="F727" s="1201"/>
      <c r="G727" s="1201"/>
      <c r="H727" s="1199"/>
      <c r="I727" s="1199"/>
      <c r="J727" s="1204"/>
      <c r="K727" s="1199"/>
      <c r="L727" s="1199"/>
      <c r="M727" s="672" t="s">
        <v>124</v>
      </c>
      <c r="N727" s="550"/>
      <c r="O727" s="544">
        <v>690</v>
      </c>
      <c r="P727" s="544">
        <v>690</v>
      </c>
      <c r="Q727" s="675">
        <v>690</v>
      </c>
      <c r="R727" s="48"/>
      <c r="S727" s="48"/>
      <c r="T727" s="48"/>
      <c r="U727" s="48"/>
      <c r="V727" s="48"/>
    </row>
    <row r="728" spans="2:22" ht="25.5" customHeight="1" thickBot="1" x14ac:dyDescent="0.3">
      <c r="B728" s="1204"/>
      <c r="C728" s="1199"/>
      <c r="D728" s="688"/>
      <c r="E728" s="1199"/>
      <c r="F728" s="1201"/>
      <c r="G728" s="1201"/>
      <c r="H728" s="1199"/>
      <c r="I728" s="1199"/>
      <c r="J728" s="1204"/>
      <c r="K728" s="1199"/>
      <c r="L728" s="1199"/>
      <c r="M728" s="671" t="s">
        <v>745</v>
      </c>
      <c r="N728" s="543"/>
      <c r="O728" s="544">
        <v>0</v>
      </c>
      <c r="P728" s="544">
        <v>0</v>
      </c>
      <c r="Q728" s="675">
        <v>0</v>
      </c>
      <c r="R728" s="48"/>
      <c r="S728" s="48"/>
      <c r="T728" s="48"/>
      <c r="U728" s="48"/>
      <c r="V728" s="48"/>
    </row>
    <row r="729" spans="2:22" ht="24" customHeight="1" thickBot="1" x14ac:dyDescent="0.3">
      <c r="B729" s="1206" t="s">
        <v>174</v>
      </c>
      <c r="C729" s="1207">
        <v>10108</v>
      </c>
      <c r="D729" s="620">
        <v>27300364</v>
      </c>
      <c r="E729" s="1207" t="s">
        <v>192</v>
      </c>
      <c r="F729" s="1200" t="s">
        <v>371</v>
      </c>
      <c r="G729" s="1200" t="s">
        <v>217</v>
      </c>
      <c r="H729" s="1207" t="s">
        <v>240</v>
      </c>
      <c r="I729" s="1207" t="s">
        <v>374</v>
      </c>
      <c r="J729" s="1206" t="s">
        <v>462</v>
      </c>
      <c r="K729" s="1207" t="s">
        <v>374</v>
      </c>
      <c r="L729" s="1207" t="s">
        <v>374</v>
      </c>
      <c r="M729" s="542" t="s">
        <v>122</v>
      </c>
      <c r="N729" s="543"/>
      <c r="O729" s="544">
        <f>O730+O731+O732</f>
        <v>460</v>
      </c>
      <c r="P729" s="544">
        <f>P730+P731+P732</f>
        <v>460</v>
      </c>
      <c r="Q729" s="675">
        <f>Q730+Q731+Q732</f>
        <v>460</v>
      </c>
      <c r="R729" s="48"/>
      <c r="S729" s="48"/>
      <c r="T729" s="48"/>
      <c r="U729" s="48"/>
      <c r="V729" s="48"/>
    </row>
    <row r="730" spans="2:22" ht="21" customHeight="1" thickBot="1" x14ac:dyDescent="0.3">
      <c r="B730" s="1204"/>
      <c r="C730" s="1199"/>
      <c r="D730" s="609"/>
      <c r="E730" s="1199"/>
      <c r="F730" s="1201"/>
      <c r="G730" s="1201"/>
      <c r="H730" s="1199"/>
      <c r="I730" s="1199"/>
      <c r="J730" s="1204"/>
      <c r="K730" s="1199"/>
      <c r="L730" s="1199"/>
      <c r="M730" s="636" t="s">
        <v>123</v>
      </c>
      <c r="N730" s="549"/>
      <c r="O730" s="544">
        <v>0</v>
      </c>
      <c r="P730" s="544">
        <v>0</v>
      </c>
      <c r="Q730" s="675">
        <v>0</v>
      </c>
      <c r="R730" s="48"/>
      <c r="S730" s="48"/>
      <c r="T730" s="48"/>
      <c r="U730" s="48"/>
      <c r="V730" s="48"/>
    </row>
    <row r="731" spans="2:22" ht="21" customHeight="1" thickBot="1" x14ac:dyDescent="0.3">
      <c r="B731" s="1204"/>
      <c r="C731" s="1199"/>
      <c r="D731" s="609"/>
      <c r="E731" s="1199"/>
      <c r="F731" s="1201"/>
      <c r="G731" s="1201"/>
      <c r="H731" s="1199"/>
      <c r="I731" s="1199"/>
      <c r="J731" s="1204"/>
      <c r="K731" s="1199"/>
      <c r="L731" s="1199"/>
      <c r="M731" s="672" t="s">
        <v>124</v>
      </c>
      <c r="N731" s="550"/>
      <c r="O731" s="544">
        <v>460</v>
      </c>
      <c r="P731" s="544">
        <v>460</v>
      </c>
      <c r="Q731" s="675">
        <v>460</v>
      </c>
      <c r="R731" s="48"/>
      <c r="S731" s="48"/>
      <c r="T731" s="48"/>
      <c r="U731" s="48"/>
      <c r="V731" s="48"/>
    </row>
    <row r="732" spans="2:22" ht="21" customHeight="1" thickBot="1" x14ac:dyDescent="0.3">
      <c r="B732" s="1204"/>
      <c r="C732" s="1199"/>
      <c r="D732" s="688"/>
      <c r="E732" s="1199"/>
      <c r="F732" s="1201"/>
      <c r="G732" s="1201"/>
      <c r="H732" s="1199"/>
      <c r="I732" s="1199"/>
      <c r="J732" s="1204"/>
      <c r="K732" s="1199"/>
      <c r="L732" s="1199"/>
      <c r="M732" s="671" t="s">
        <v>745</v>
      </c>
      <c r="N732" s="543"/>
      <c r="O732" s="544">
        <v>0</v>
      </c>
      <c r="P732" s="544">
        <v>0</v>
      </c>
      <c r="Q732" s="675">
        <v>0</v>
      </c>
      <c r="R732" s="48"/>
      <c r="S732" s="48"/>
      <c r="T732" s="48"/>
      <c r="U732" s="48"/>
      <c r="V732" s="48"/>
    </row>
    <row r="733" spans="2:22" ht="69.75" customHeight="1" thickBot="1" x14ac:dyDescent="0.3">
      <c r="B733" s="1206" t="s">
        <v>174</v>
      </c>
      <c r="C733" s="1207">
        <v>60301</v>
      </c>
      <c r="D733" s="620" t="s">
        <v>116</v>
      </c>
      <c r="E733" s="1207" t="s">
        <v>116</v>
      </c>
      <c r="F733" s="1200" t="s">
        <v>893</v>
      </c>
      <c r="G733" s="1200" t="s">
        <v>454</v>
      </c>
      <c r="H733" s="1207" t="s">
        <v>240</v>
      </c>
      <c r="I733" s="1207">
        <f>I737+I741</f>
        <v>24</v>
      </c>
      <c r="J733" s="1206" t="s">
        <v>462</v>
      </c>
      <c r="K733" s="1207">
        <f>K737+K741</f>
        <v>24</v>
      </c>
      <c r="L733" s="1207">
        <f>L737+L741</f>
        <v>24</v>
      </c>
      <c r="M733" s="542" t="s">
        <v>122</v>
      </c>
      <c r="N733" s="543"/>
      <c r="O733" s="544">
        <f>O734+O735+O736</f>
        <v>4800</v>
      </c>
      <c r="P733" s="544">
        <f>P734+P735+P736</f>
        <v>4800</v>
      </c>
      <c r="Q733" s="675">
        <f>Q734+Q735+Q736</f>
        <v>4800</v>
      </c>
      <c r="R733" s="48"/>
      <c r="S733" s="48"/>
      <c r="T733" s="48"/>
      <c r="U733" s="48"/>
      <c r="V733" s="48"/>
    </row>
    <row r="734" spans="2:22" ht="30.75" customHeight="1" thickBot="1" x14ac:dyDescent="0.3">
      <c r="B734" s="1204"/>
      <c r="C734" s="1199"/>
      <c r="D734" s="609"/>
      <c r="E734" s="1199"/>
      <c r="F734" s="1201"/>
      <c r="G734" s="1201"/>
      <c r="H734" s="1199"/>
      <c r="I734" s="1199"/>
      <c r="J734" s="1204"/>
      <c r="K734" s="1199"/>
      <c r="L734" s="1199"/>
      <c r="M734" s="636" t="s">
        <v>123</v>
      </c>
      <c r="N734" s="549"/>
      <c r="O734" s="544">
        <v>0</v>
      </c>
      <c r="P734" s="544">
        <v>0</v>
      </c>
      <c r="Q734" s="675">
        <v>0</v>
      </c>
      <c r="R734" s="48"/>
      <c r="S734" s="48"/>
      <c r="T734" s="48"/>
      <c r="U734" s="48"/>
      <c r="V734" s="48"/>
    </row>
    <row r="735" spans="2:22" ht="25.5" customHeight="1" thickBot="1" x14ac:dyDescent="0.3">
      <c r="B735" s="1204"/>
      <c r="C735" s="1199"/>
      <c r="D735" s="609"/>
      <c r="E735" s="1199"/>
      <c r="F735" s="1201"/>
      <c r="G735" s="1201"/>
      <c r="H735" s="1199"/>
      <c r="I735" s="1199"/>
      <c r="J735" s="1204"/>
      <c r="K735" s="1199"/>
      <c r="L735" s="1199"/>
      <c r="M735" s="672" t="s">
        <v>124</v>
      </c>
      <c r="N735" s="550"/>
      <c r="O735" s="544">
        <f>O739+O743</f>
        <v>4800</v>
      </c>
      <c r="P735" s="544">
        <f>P739+P743</f>
        <v>4800</v>
      </c>
      <c r="Q735" s="675">
        <f>Q739+Q743</f>
        <v>4800</v>
      </c>
      <c r="R735" s="48"/>
      <c r="S735" s="48"/>
      <c r="T735" s="48"/>
      <c r="U735" s="48"/>
      <c r="V735" s="48"/>
    </row>
    <row r="736" spans="2:22" ht="25.5" customHeight="1" thickBot="1" x14ac:dyDescent="0.3">
      <c r="B736" s="1205"/>
      <c r="C736" s="1208"/>
      <c r="D736" s="628"/>
      <c r="E736" s="1208"/>
      <c r="F736" s="1202"/>
      <c r="G736" s="1202"/>
      <c r="H736" s="1208"/>
      <c r="I736" s="1208"/>
      <c r="J736" s="1205"/>
      <c r="K736" s="1208"/>
      <c r="L736" s="1208"/>
      <c r="M736" s="547" t="s">
        <v>745</v>
      </c>
      <c r="N736" s="549"/>
      <c r="O736" s="551">
        <v>0</v>
      </c>
      <c r="P736" s="551">
        <v>0</v>
      </c>
      <c r="Q736" s="552">
        <v>0</v>
      </c>
      <c r="R736" s="48"/>
      <c r="S736" s="48"/>
      <c r="T736" s="48"/>
      <c r="U736" s="48"/>
      <c r="V736" s="48"/>
    </row>
    <row r="737" spans="2:22" ht="26.25" customHeight="1" thickBot="1" x14ac:dyDescent="0.3">
      <c r="B737" s="1204" t="s">
        <v>174</v>
      </c>
      <c r="C737" s="1199">
        <v>60301</v>
      </c>
      <c r="D737" s="689">
        <v>60301</v>
      </c>
      <c r="E737" s="1199" t="s">
        <v>192</v>
      </c>
      <c r="F737" s="1201" t="s">
        <v>377</v>
      </c>
      <c r="G737" s="1201" t="s">
        <v>453</v>
      </c>
      <c r="H737" s="1199" t="s">
        <v>240</v>
      </c>
      <c r="I737" s="1199" t="s">
        <v>372</v>
      </c>
      <c r="J737" s="1204" t="s">
        <v>462</v>
      </c>
      <c r="K737" s="1199" t="s">
        <v>372</v>
      </c>
      <c r="L737" s="1199" t="s">
        <v>372</v>
      </c>
      <c r="M737" s="672" t="s">
        <v>122</v>
      </c>
      <c r="N737" s="550"/>
      <c r="O737" s="561">
        <f>O738+O739+O740</f>
        <v>1200</v>
      </c>
      <c r="P737" s="561">
        <f>P738+P739+P740</f>
        <v>1200</v>
      </c>
      <c r="Q737" s="562">
        <f>Q738+Q739+Q740</f>
        <v>1200</v>
      </c>
      <c r="R737" s="48"/>
      <c r="S737" s="48"/>
      <c r="T737" s="48"/>
      <c r="U737" s="48"/>
      <c r="V737" s="48"/>
    </row>
    <row r="738" spans="2:22" ht="30" customHeight="1" thickBot="1" x14ac:dyDescent="0.3">
      <c r="B738" s="1204"/>
      <c r="C738" s="1199"/>
      <c r="D738" s="688"/>
      <c r="E738" s="1199"/>
      <c r="F738" s="1201"/>
      <c r="G738" s="1201"/>
      <c r="H738" s="1199"/>
      <c r="I738" s="1199"/>
      <c r="J738" s="1204"/>
      <c r="K738" s="1199"/>
      <c r="L738" s="1199"/>
      <c r="M738" s="636" t="s">
        <v>123</v>
      </c>
      <c r="N738" s="549"/>
      <c r="O738" s="544">
        <v>0</v>
      </c>
      <c r="P738" s="544">
        <v>0</v>
      </c>
      <c r="Q738" s="675">
        <v>0</v>
      </c>
      <c r="R738" s="48"/>
      <c r="S738" s="48"/>
      <c r="T738" s="48"/>
      <c r="U738" s="48"/>
      <c r="V738" s="48"/>
    </row>
    <row r="739" spans="2:22" ht="27" customHeight="1" thickBot="1" x14ac:dyDescent="0.3">
      <c r="B739" s="1204"/>
      <c r="C739" s="1199"/>
      <c r="D739" s="688"/>
      <c r="E739" s="1199"/>
      <c r="F739" s="1201"/>
      <c r="G739" s="1201"/>
      <c r="H739" s="1199"/>
      <c r="I739" s="1199"/>
      <c r="J739" s="1204"/>
      <c r="K739" s="1199"/>
      <c r="L739" s="1199"/>
      <c r="M739" s="672" t="s">
        <v>124</v>
      </c>
      <c r="N739" s="550"/>
      <c r="O739" s="544">
        <v>1200</v>
      </c>
      <c r="P739" s="544">
        <v>1200</v>
      </c>
      <c r="Q739" s="675">
        <v>1200</v>
      </c>
      <c r="R739" s="48"/>
      <c r="S739" s="48"/>
      <c r="T739" s="48"/>
      <c r="U739" s="48"/>
      <c r="V739" s="48"/>
    </row>
    <row r="740" spans="2:22" ht="27" customHeight="1" thickBot="1" x14ac:dyDescent="0.3">
      <c r="B740" s="1204"/>
      <c r="C740" s="1199"/>
      <c r="D740" s="688"/>
      <c r="E740" s="1199"/>
      <c r="F740" s="1201"/>
      <c r="G740" s="1201"/>
      <c r="H740" s="1199"/>
      <c r="I740" s="1199"/>
      <c r="J740" s="1204"/>
      <c r="K740" s="1199"/>
      <c r="L740" s="1199"/>
      <c r="M740" s="671" t="s">
        <v>745</v>
      </c>
      <c r="N740" s="543"/>
      <c r="O740" s="544">
        <v>0</v>
      </c>
      <c r="P740" s="544">
        <v>0</v>
      </c>
      <c r="Q740" s="675">
        <v>0</v>
      </c>
      <c r="R740" s="48"/>
      <c r="S740" s="48"/>
      <c r="T740" s="48"/>
      <c r="U740" s="48"/>
      <c r="V740" s="48"/>
    </row>
    <row r="741" spans="2:22" ht="27" customHeight="1" thickBot="1" x14ac:dyDescent="0.3">
      <c r="B741" s="1206" t="s">
        <v>174</v>
      </c>
      <c r="C741" s="1207">
        <v>60301</v>
      </c>
      <c r="D741" s="542"/>
      <c r="E741" s="1207" t="s">
        <v>192</v>
      </c>
      <c r="F741" s="1200" t="s">
        <v>378</v>
      </c>
      <c r="G741" s="1200" t="s">
        <v>526</v>
      </c>
      <c r="H741" s="1207" t="s">
        <v>240</v>
      </c>
      <c r="I741" s="1207">
        <v>18</v>
      </c>
      <c r="J741" s="1206" t="s">
        <v>462</v>
      </c>
      <c r="K741" s="1207">
        <v>18</v>
      </c>
      <c r="L741" s="1207">
        <v>18</v>
      </c>
      <c r="M741" s="542" t="s">
        <v>122</v>
      </c>
      <c r="N741" s="543"/>
      <c r="O741" s="544">
        <f>O742+O743+O744</f>
        <v>3600</v>
      </c>
      <c r="P741" s="544">
        <f>P742+P743+P744</f>
        <v>3600</v>
      </c>
      <c r="Q741" s="675">
        <f>Q742+Q743+Q744</f>
        <v>3600</v>
      </c>
      <c r="R741" s="48"/>
      <c r="S741" s="48"/>
      <c r="T741" s="48"/>
      <c r="U741" s="48"/>
      <c r="V741" s="48"/>
    </row>
    <row r="742" spans="2:22" ht="27" customHeight="1" thickBot="1" x14ac:dyDescent="0.3">
      <c r="B742" s="1204"/>
      <c r="C742" s="1199"/>
      <c r="D742" s="688"/>
      <c r="E742" s="1199"/>
      <c r="F742" s="1201"/>
      <c r="G742" s="1201"/>
      <c r="H742" s="1199"/>
      <c r="I742" s="1199"/>
      <c r="J742" s="1204"/>
      <c r="K742" s="1199"/>
      <c r="L742" s="1199"/>
      <c r="M742" s="636" t="s">
        <v>123</v>
      </c>
      <c r="N742" s="549"/>
      <c r="O742" s="544">
        <v>0</v>
      </c>
      <c r="P742" s="544">
        <v>0</v>
      </c>
      <c r="Q742" s="675">
        <v>0</v>
      </c>
      <c r="R742" s="48"/>
      <c r="S742" s="48"/>
      <c r="T742" s="48"/>
      <c r="U742" s="48"/>
      <c r="V742" s="48"/>
    </row>
    <row r="743" spans="2:22" ht="27" customHeight="1" thickBot="1" x14ac:dyDescent="0.3">
      <c r="B743" s="1204"/>
      <c r="C743" s="1199"/>
      <c r="D743" s="688"/>
      <c r="E743" s="1199"/>
      <c r="F743" s="1201"/>
      <c r="G743" s="1201"/>
      <c r="H743" s="1199"/>
      <c r="I743" s="1199"/>
      <c r="J743" s="1204"/>
      <c r="K743" s="1199"/>
      <c r="L743" s="1199"/>
      <c r="M743" s="672" t="s">
        <v>124</v>
      </c>
      <c r="N743" s="550"/>
      <c r="O743" s="544">
        <v>3600</v>
      </c>
      <c r="P743" s="544">
        <v>3600</v>
      </c>
      <c r="Q743" s="675">
        <v>3600</v>
      </c>
      <c r="R743" s="48"/>
      <c r="S743" s="48"/>
      <c r="T743" s="48"/>
      <c r="U743" s="48"/>
      <c r="V743" s="48"/>
    </row>
    <row r="744" spans="2:22" ht="26.25" customHeight="1" thickBot="1" x14ac:dyDescent="0.3">
      <c r="B744" s="1205"/>
      <c r="C744" s="1208"/>
      <c r="D744" s="628">
        <v>60301</v>
      </c>
      <c r="E744" s="1208"/>
      <c r="F744" s="1202"/>
      <c r="G744" s="1202"/>
      <c r="H744" s="1208"/>
      <c r="I744" s="1208"/>
      <c r="J744" s="1205"/>
      <c r="K744" s="1208"/>
      <c r="L744" s="1208"/>
      <c r="M744" s="547" t="s">
        <v>745</v>
      </c>
      <c r="N744" s="549"/>
      <c r="O744" s="551">
        <v>0</v>
      </c>
      <c r="P744" s="551">
        <v>0</v>
      </c>
      <c r="Q744" s="552">
        <v>0</v>
      </c>
      <c r="R744" s="48"/>
      <c r="S744" s="48"/>
      <c r="T744" s="48"/>
      <c r="U744" s="48"/>
      <c r="V744" s="48"/>
    </row>
    <row r="745" spans="2:22" ht="60" hidden="1" x14ac:dyDescent="0.25">
      <c r="B745" s="599" t="s">
        <v>576</v>
      </c>
      <c r="C745" s="689" t="s">
        <v>116</v>
      </c>
      <c r="D745" s="689" t="s">
        <v>116</v>
      </c>
      <c r="E745" s="689" t="s">
        <v>116</v>
      </c>
      <c r="F745" s="645" t="s">
        <v>578</v>
      </c>
      <c r="G745" s="732" t="s">
        <v>580</v>
      </c>
      <c r="H745" s="601" t="s">
        <v>240</v>
      </c>
      <c r="I745" s="601" t="s">
        <v>374</v>
      </c>
      <c r="J745" s="602" t="s">
        <v>363</v>
      </c>
      <c r="K745" s="603"/>
      <c r="L745" s="689"/>
      <c r="M745" s="687"/>
      <c r="N745" s="556">
        <f>N747+N748</f>
        <v>36126.990000000005</v>
      </c>
      <c r="O745" s="691">
        <v>0</v>
      </c>
      <c r="P745" s="604">
        <v>0</v>
      </c>
      <c r="Q745" s="604">
        <v>0</v>
      </c>
      <c r="R745" s="48"/>
      <c r="S745" s="48"/>
      <c r="T745" s="48"/>
      <c r="U745" s="48"/>
      <c r="V745" s="48"/>
    </row>
    <row r="746" spans="2:22" ht="48.75" hidden="1" thickBot="1" x14ac:dyDescent="0.3">
      <c r="B746" s="598" t="s">
        <v>576</v>
      </c>
      <c r="C746" s="605" t="s">
        <v>295</v>
      </c>
      <c r="D746" s="609" t="s">
        <v>116</v>
      </c>
      <c r="E746" s="609" t="s">
        <v>116</v>
      </c>
      <c r="F746" s="646" t="s">
        <v>588</v>
      </c>
      <c r="G746" s="733" t="s">
        <v>580</v>
      </c>
      <c r="H746" s="605" t="s">
        <v>240</v>
      </c>
      <c r="I746" s="605">
        <f>I747+I748</f>
        <v>2</v>
      </c>
      <c r="J746" s="607" t="s">
        <v>363</v>
      </c>
      <c r="K746" s="608"/>
      <c r="L746" s="609"/>
      <c r="M746" s="584"/>
      <c r="N746" s="610">
        <f>N747+N748</f>
        <v>36126.990000000005</v>
      </c>
      <c r="O746" s="611">
        <v>0</v>
      </c>
      <c r="P746" s="612">
        <v>0</v>
      </c>
      <c r="Q746" s="613"/>
      <c r="R746" s="48"/>
      <c r="S746" s="48"/>
      <c r="T746" s="48"/>
      <c r="U746" s="48"/>
      <c r="V746" s="48"/>
    </row>
    <row r="747" spans="2:22" ht="84.75" hidden="1" x14ac:dyDescent="0.25">
      <c r="B747" s="614" t="s">
        <v>576</v>
      </c>
      <c r="C747" s="615" t="s">
        <v>295</v>
      </c>
      <c r="D747" s="615">
        <v>27301823</v>
      </c>
      <c r="E747" s="615" t="s">
        <v>581</v>
      </c>
      <c r="F747" s="617" t="s">
        <v>613</v>
      </c>
      <c r="G747" s="734" t="s">
        <v>580</v>
      </c>
      <c r="H747" s="694" t="s">
        <v>240</v>
      </c>
      <c r="I747" s="615">
        <v>1</v>
      </c>
      <c r="J747" s="618" t="s">
        <v>363</v>
      </c>
      <c r="K747" s="619"/>
      <c r="L747" s="620"/>
      <c r="M747" s="609"/>
      <c r="N747" s="567">
        <f>28700+576.99</f>
        <v>29276.99</v>
      </c>
      <c r="O747" s="611">
        <v>0</v>
      </c>
      <c r="P747" s="612">
        <v>0</v>
      </c>
      <c r="Q747" s="613"/>
      <c r="R747" s="48"/>
      <c r="S747" s="48"/>
      <c r="T747" s="48"/>
      <c r="U747" s="48"/>
      <c r="V747" s="48"/>
    </row>
    <row r="748" spans="2:22" ht="60.75" hidden="1" thickBot="1" x14ac:dyDescent="0.3">
      <c r="B748" s="621" t="s">
        <v>576</v>
      </c>
      <c r="C748" s="622" t="s">
        <v>295</v>
      </c>
      <c r="D748" s="622" t="s">
        <v>579</v>
      </c>
      <c r="E748" s="622" t="s">
        <v>582</v>
      </c>
      <c r="F748" s="624" t="s">
        <v>594</v>
      </c>
      <c r="G748" s="735" t="s">
        <v>580</v>
      </c>
      <c r="H748" s="558" t="s">
        <v>240</v>
      </c>
      <c r="I748" s="622">
        <v>1</v>
      </c>
      <c r="J748" s="626" t="s">
        <v>363</v>
      </c>
      <c r="K748" s="627"/>
      <c r="L748" s="628"/>
      <c r="M748" s="628"/>
      <c r="N748" s="559">
        <v>6850</v>
      </c>
      <c r="O748" s="611">
        <v>0</v>
      </c>
      <c r="P748" s="629">
        <v>0</v>
      </c>
      <c r="Q748" s="630"/>
      <c r="R748" s="48"/>
      <c r="S748" s="48"/>
      <c r="T748" s="48"/>
      <c r="U748" s="48"/>
      <c r="V748" s="48"/>
    </row>
    <row r="749" spans="2:22" x14ac:dyDescent="0.25">
      <c r="B749" s="631"/>
      <c r="C749" s="631"/>
      <c r="D749" s="631"/>
      <c r="E749" s="631"/>
      <c r="F749" s="631"/>
      <c r="G749" s="631"/>
      <c r="H749" s="631"/>
      <c r="I749" s="631"/>
      <c r="J749" s="631"/>
      <c r="K749" s="631"/>
      <c r="L749" s="631"/>
      <c r="M749" s="631"/>
      <c r="N749" s="632" t="e">
        <f>#REF!+N144+N372+N573+N703+N745</f>
        <v>#REF!</v>
      </c>
      <c r="O749" s="632">
        <f>O19+O144+O372+O573+O703</f>
        <v>602246.71400000004</v>
      </c>
      <c r="P749" s="632">
        <f>P19+P144+P372+P573+P703</f>
        <v>618146.36600000004</v>
      </c>
      <c r="Q749" s="632">
        <f>Q19+Q144+Q372+Q573+Q703</f>
        <v>534202.11800000002</v>
      </c>
      <c r="R749" s="48"/>
      <c r="S749" s="48"/>
      <c r="T749" s="48"/>
      <c r="U749" s="48"/>
      <c r="V749" s="48"/>
    </row>
    <row r="750" spans="2:22" x14ac:dyDescent="0.25">
      <c r="B750" s="631"/>
      <c r="C750" s="631"/>
      <c r="D750" s="631"/>
      <c r="E750" s="631"/>
      <c r="F750" s="631"/>
      <c r="G750" s="631"/>
      <c r="H750" s="631"/>
      <c r="I750" s="631"/>
      <c r="J750" s="631"/>
      <c r="K750" s="631"/>
      <c r="L750" s="631"/>
      <c r="M750" s="631"/>
      <c r="N750" s="631">
        <v>655251.74</v>
      </c>
      <c r="O750" s="631">
        <v>592834</v>
      </c>
      <c r="P750" s="631">
        <v>479133.4</v>
      </c>
      <c r="Q750" s="631">
        <v>485968</v>
      </c>
      <c r="R750" s="48"/>
      <c r="S750" s="48"/>
      <c r="T750" s="48"/>
      <c r="U750" s="48"/>
      <c r="V750" s="48"/>
    </row>
    <row r="751" spans="2:22" x14ac:dyDescent="0.25">
      <c r="B751" s="631"/>
      <c r="C751" s="631"/>
      <c r="D751" s="631"/>
      <c r="E751" s="631"/>
      <c r="F751" s="631"/>
      <c r="G751" s="631"/>
      <c r="H751" s="631"/>
      <c r="I751" s="631"/>
      <c r="J751" s="631"/>
      <c r="K751" s="631"/>
      <c r="L751" s="631"/>
      <c r="M751" s="631"/>
      <c r="N751" s="632" t="e">
        <f>N749-N750</f>
        <v>#REF!</v>
      </c>
      <c r="O751" s="632">
        <f>O749-O750</f>
        <v>9412.7140000000363</v>
      </c>
      <c r="P751" s="632">
        <f>P749-P750</f>
        <v>139012.96600000001</v>
      </c>
      <c r="Q751" s="632">
        <f>Q749-Q750</f>
        <v>48234.118000000017</v>
      </c>
      <c r="R751" s="48"/>
      <c r="S751" s="48"/>
      <c r="T751" s="48"/>
      <c r="U751" s="48"/>
      <c r="V751" s="48"/>
    </row>
    <row r="752" spans="2:22" x14ac:dyDescent="0.25"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</row>
    <row r="753" spans="6:9" x14ac:dyDescent="0.25">
      <c r="I753" s="37">
        <f>I381+I383+I385+I389+I393+I397+I401+I405+I409+I413+I417+I419+I421+I425</f>
        <v>4908</v>
      </c>
    </row>
    <row r="759" spans="6:9" x14ac:dyDescent="0.25">
      <c r="F759" s="49"/>
    </row>
  </sheetData>
  <autoFilter ref="B13:Q751" xr:uid="{00000000-0009-0000-0000-00000E000000}"/>
  <mergeCells count="1898">
    <mergeCell ref="H105:H107"/>
    <mergeCell ref="I105:I107"/>
    <mergeCell ref="K105:K107"/>
    <mergeCell ref="L105:L107"/>
    <mergeCell ref="E433:E436"/>
    <mergeCell ref="F433:F436"/>
    <mergeCell ref="G433:G436"/>
    <mergeCell ref="H433:H436"/>
    <mergeCell ref="B120:B123"/>
    <mergeCell ref="C120:C123"/>
    <mergeCell ref="E120:E123"/>
    <mergeCell ref="F120:F123"/>
    <mergeCell ref="G120:G123"/>
    <mergeCell ref="H120:H123"/>
    <mergeCell ref="I120:I123"/>
    <mergeCell ref="G112:G115"/>
    <mergeCell ref="H112:H115"/>
    <mergeCell ref="K112:K115"/>
    <mergeCell ref="J124:J127"/>
    <mergeCell ref="K124:K127"/>
    <mergeCell ref="L124:L127"/>
    <mergeCell ref="B128:B131"/>
    <mergeCell ref="I433:I436"/>
    <mergeCell ref="J433:J436"/>
    <mergeCell ref="K433:K436"/>
    <mergeCell ref="L433:L436"/>
    <mergeCell ref="J116:J119"/>
    <mergeCell ref="K116:K119"/>
    <mergeCell ref="L116:L119"/>
    <mergeCell ref="I112:I115"/>
    <mergeCell ref="J112:J115"/>
    <mergeCell ref="L112:L115"/>
    <mergeCell ref="I437:I440"/>
    <mergeCell ref="J437:J440"/>
    <mergeCell ref="C19:C23"/>
    <mergeCell ref="E19:E23"/>
    <mergeCell ref="F19:F23"/>
    <mergeCell ref="J19:J23"/>
    <mergeCell ref="D20:D23"/>
    <mergeCell ref="B24:B27"/>
    <mergeCell ref="C24:C27"/>
    <mergeCell ref="E24:E27"/>
    <mergeCell ref="F24:F27"/>
    <mergeCell ref="G24:G27"/>
    <mergeCell ref="H36:H39"/>
    <mergeCell ref="I36:I39"/>
    <mergeCell ref="J36:J39"/>
    <mergeCell ref="K36:K39"/>
    <mergeCell ref="L36:L39"/>
    <mergeCell ref="B40:B43"/>
    <mergeCell ref="B96:B99"/>
    <mergeCell ref="C96:C99"/>
    <mergeCell ref="E96:E99"/>
    <mergeCell ref="F96:F99"/>
    <mergeCell ref="G96:G99"/>
    <mergeCell ref="H96:H99"/>
    <mergeCell ref="I96:I99"/>
    <mergeCell ref="J96:J99"/>
    <mergeCell ref="K96:K99"/>
    <mergeCell ref="L96:L99"/>
    <mergeCell ref="B28:B31"/>
    <mergeCell ref="C28:C31"/>
    <mergeCell ref="E28:E31"/>
    <mergeCell ref="F28:F31"/>
    <mergeCell ref="B8:Q8"/>
    <mergeCell ref="B10:B12"/>
    <mergeCell ref="C10:C12"/>
    <mergeCell ref="E10:E12"/>
    <mergeCell ref="F10:F12"/>
    <mergeCell ref="G10:L10"/>
    <mergeCell ref="Q11:Q12"/>
    <mergeCell ref="K11:K12"/>
    <mergeCell ref="L11:L12"/>
    <mergeCell ref="M10:Q10"/>
    <mergeCell ref="P11:P12"/>
    <mergeCell ref="G11:G12"/>
    <mergeCell ref="H11:H12"/>
    <mergeCell ref="I11:J11"/>
    <mergeCell ref="M11:M12"/>
    <mergeCell ref="N11:N12"/>
    <mergeCell ref="O11:O12"/>
    <mergeCell ref="B14:L18"/>
    <mergeCell ref="B19:B23"/>
    <mergeCell ref="H28:H31"/>
    <mergeCell ref="I28:I31"/>
    <mergeCell ref="J28:J31"/>
    <mergeCell ref="K28:K31"/>
    <mergeCell ref="L28:L31"/>
    <mergeCell ref="B32:B35"/>
    <mergeCell ref="C32:C35"/>
    <mergeCell ref="E32:E35"/>
    <mergeCell ref="F32:F35"/>
    <mergeCell ref="G32:G35"/>
    <mergeCell ref="H24:H27"/>
    <mergeCell ref="I24:I27"/>
    <mergeCell ref="J24:J27"/>
    <mergeCell ref="K24:K27"/>
    <mergeCell ref="L24:L27"/>
    <mergeCell ref="G28:G31"/>
    <mergeCell ref="F40:F43"/>
    <mergeCell ref="G40:G43"/>
    <mergeCell ref="H48:H51"/>
    <mergeCell ref="I48:I51"/>
    <mergeCell ref="J48:J51"/>
    <mergeCell ref="K48:K51"/>
    <mergeCell ref="L48:L51"/>
    <mergeCell ref="B52:B55"/>
    <mergeCell ref="C52:C55"/>
    <mergeCell ref="E52:E55"/>
    <mergeCell ref="F52:F55"/>
    <mergeCell ref="G52:G55"/>
    <mergeCell ref="H32:H35"/>
    <mergeCell ref="I32:I35"/>
    <mergeCell ref="J32:J35"/>
    <mergeCell ref="K32:K35"/>
    <mergeCell ref="L32:L35"/>
    <mergeCell ref="B36:B39"/>
    <mergeCell ref="C36:C39"/>
    <mergeCell ref="E36:E39"/>
    <mergeCell ref="F36:F39"/>
    <mergeCell ref="G36:G39"/>
    <mergeCell ref="H44:H47"/>
    <mergeCell ref="I44:I47"/>
    <mergeCell ref="J44:J47"/>
    <mergeCell ref="K44:K47"/>
    <mergeCell ref="L44:L47"/>
    <mergeCell ref="B48:B51"/>
    <mergeCell ref="C48:C51"/>
    <mergeCell ref="E48:E51"/>
    <mergeCell ref="F48:F51"/>
    <mergeCell ref="G48:G51"/>
    <mergeCell ref="H56:H59"/>
    <mergeCell ref="I56:I59"/>
    <mergeCell ref="J56:J59"/>
    <mergeCell ref="K56:K59"/>
    <mergeCell ref="L56:L59"/>
    <mergeCell ref="B60:B63"/>
    <mergeCell ref="C60:C63"/>
    <mergeCell ref="E60:E63"/>
    <mergeCell ref="F60:F63"/>
    <mergeCell ref="G60:G63"/>
    <mergeCell ref="H40:H43"/>
    <mergeCell ref="I40:I43"/>
    <mergeCell ref="J40:J43"/>
    <mergeCell ref="K40:K43"/>
    <mergeCell ref="L40:L43"/>
    <mergeCell ref="B44:B47"/>
    <mergeCell ref="C44:C47"/>
    <mergeCell ref="E44:E47"/>
    <mergeCell ref="F44:F47"/>
    <mergeCell ref="G44:G47"/>
    <mergeCell ref="H52:H55"/>
    <mergeCell ref="I52:I55"/>
    <mergeCell ref="J52:J55"/>
    <mergeCell ref="K52:K55"/>
    <mergeCell ref="L52:L55"/>
    <mergeCell ref="C40:C43"/>
    <mergeCell ref="E40:E43"/>
    <mergeCell ref="B56:B59"/>
    <mergeCell ref="C56:C59"/>
    <mergeCell ref="E56:E59"/>
    <mergeCell ref="F56:F59"/>
    <mergeCell ref="G56:G59"/>
    <mergeCell ref="H64:H67"/>
    <mergeCell ref="I64:I67"/>
    <mergeCell ref="J64:J67"/>
    <mergeCell ref="K64:K67"/>
    <mergeCell ref="L64:L67"/>
    <mergeCell ref="B68:B71"/>
    <mergeCell ref="C68:C71"/>
    <mergeCell ref="E68:E71"/>
    <mergeCell ref="F68:F71"/>
    <mergeCell ref="G68:G71"/>
    <mergeCell ref="H60:H63"/>
    <mergeCell ref="I60:I63"/>
    <mergeCell ref="J60:J63"/>
    <mergeCell ref="K60:K63"/>
    <mergeCell ref="L60:L63"/>
    <mergeCell ref="B64:B67"/>
    <mergeCell ref="C64:C67"/>
    <mergeCell ref="E64:E67"/>
    <mergeCell ref="F64:F67"/>
    <mergeCell ref="G64:G67"/>
    <mergeCell ref="E80:E83"/>
    <mergeCell ref="F80:F83"/>
    <mergeCell ref="G80:G83"/>
    <mergeCell ref="H72:H75"/>
    <mergeCell ref="I72:I75"/>
    <mergeCell ref="J72:J75"/>
    <mergeCell ref="K72:K75"/>
    <mergeCell ref="L72:L75"/>
    <mergeCell ref="B76:B79"/>
    <mergeCell ref="C76:C79"/>
    <mergeCell ref="E76:E79"/>
    <mergeCell ref="F76:F79"/>
    <mergeCell ref="G76:G79"/>
    <mergeCell ref="H68:H71"/>
    <mergeCell ref="I68:I71"/>
    <mergeCell ref="J68:J71"/>
    <mergeCell ref="K68:K71"/>
    <mergeCell ref="L68:L71"/>
    <mergeCell ref="H84:H87"/>
    <mergeCell ref="I84:I87"/>
    <mergeCell ref="J84:J87"/>
    <mergeCell ref="K84:K87"/>
    <mergeCell ref="L84:L87"/>
    <mergeCell ref="B72:B75"/>
    <mergeCell ref="C72:C75"/>
    <mergeCell ref="E72:E75"/>
    <mergeCell ref="F72:F75"/>
    <mergeCell ref="G72:G75"/>
    <mergeCell ref="B88:B91"/>
    <mergeCell ref="C88:C91"/>
    <mergeCell ref="E88:E91"/>
    <mergeCell ref="F88:F91"/>
    <mergeCell ref="G88:G91"/>
    <mergeCell ref="H80:H83"/>
    <mergeCell ref="I80:I83"/>
    <mergeCell ref="J80:J83"/>
    <mergeCell ref="K80:K83"/>
    <mergeCell ref="L80:L83"/>
    <mergeCell ref="B84:B87"/>
    <mergeCell ref="C84:C87"/>
    <mergeCell ref="E84:E87"/>
    <mergeCell ref="F84:F87"/>
    <mergeCell ref="G84:G87"/>
    <mergeCell ref="H76:H79"/>
    <mergeCell ref="I76:I79"/>
    <mergeCell ref="J76:J79"/>
    <mergeCell ref="K76:K79"/>
    <mergeCell ref="L76:L79"/>
    <mergeCell ref="B80:B83"/>
    <mergeCell ref="C80:C83"/>
    <mergeCell ref="H100:H103"/>
    <mergeCell ref="I100:I103"/>
    <mergeCell ref="J100:J103"/>
    <mergeCell ref="K100:K103"/>
    <mergeCell ref="L100:L103"/>
    <mergeCell ref="B104:B107"/>
    <mergeCell ref="C104:C107"/>
    <mergeCell ref="D104:D105"/>
    <mergeCell ref="E104:E107"/>
    <mergeCell ref="J104:J107"/>
    <mergeCell ref="H88:H91"/>
    <mergeCell ref="I88:I91"/>
    <mergeCell ref="J88:J91"/>
    <mergeCell ref="K88:K91"/>
    <mergeCell ref="L88:L91"/>
    <mergeCell ref="B100:B103"/>
    <mergeCell ref="C100:C103"/>
    <mergeCell ref="E100:E103"/>
    <mergeCell ref="F100:F103"/>
    <mergeCell ref="G100:G103"/>
    <mergeCell ref="B92:B95"/>
    <mergeCell ref="C92:C95"/>
    <mergeCell ref="E92:E95"/>
    <mergeCell ref="F92:F95"/>
    <mergeCell ref="G92:G95"/>
    <mergeCell ref="H92:H95"/>
    <mergeCell ref="I92:I95"/>
    <mergeCell ref="J92:J95"/>
    <mergeCell ref="K92:K95"/>
    <mergeCell ref="L92:L95"/>
    <mergeCell ref="F105:F107"/>
    <mergeCell ref="G105:G107"/>
    <mergeCell ref="B116:B119"/>
    <mergeCell ref="C116:C119"/>
    <mergeCell ref="E116:E119"/>
    <mergeCell ref="F116:F119"/>
    <mergeCell ref="G116:G119"/>
    <mergeCell ref="H116:H119"/>
    <mergeCell ref="I116:I119"/>
    <mergeCell ref="B112:B115"/>
    <mergeCell ref="C112:C115"/>
    <mergeCell ref="E112:E115"/>
    <mergeCell ref="F112:F115"/>
    <mergeCell ref="J128:J131"/>
    <mergeCell ref="K128:K131"/>
    <mergeCell ref="L128:L131"/>
    <mergeCell ref="B132:B135"/>
    <mergeCell ref="C132:C135"/>
    <mergeCell ref="E132:E135"/>
    <mergeCell ref="F132:F135"/>
    <mergeCell ref="G132:G135"/>
    <mergeCell ref="H132:H135"/>
    <mergeCell ref="I132:I135"/>
    <mergeCell ref="C128:C131"/>
    <mergeCell ref="E128:E131"/>
    <mergeCell ref="F128:F131"/>
    <mergeCell ref="G128:G131"/>
    <mergeCell ref="H128:H131"/>
    <mergeCell ref="I128:I131"/>
    <mergeCell ref="J120:J123"/>
    <mergeCell ref="K120:K123"/>
    <mergeCell ref="L120:L123"/>
    <mergeCell ref="B124:B127"/>
    <mergeCell ref="C124:C127"/>
    <mergeCell ref="E124:E127"/>
    <mergeCell ref="F124:F127"/>
    <mergeCell ref="G124:G127"/>
    <mergeCell ref="H124:H127"/>
    <mergeCell ref="I124:I127"/>
    <mergeCell ref="J132:J135"/>
    <mergeCell ref="K132:K135"/>
    <mergeCell ref="L132:L135"/>
    <mergeCell ref="J140:J143"/>
    <mergeCell ref="K140:K143"/>
    <mergeCell ref="L140:L143"/>
    <mergeCell ref="B144:B149"/>
    <mergeCell ref="C144:C149"/>
    <mergeCell ref="D144:D149"/>
    <mergeCell ref="E144:E149"/>
    <mergeCell ref="F144:F149"/>
    <mergeCell ref="J144:J149"/>
    <mergeCell ref="J136:J139"/>
    <mergeCell ref="K136:K139"/>
    <mergeCell ref="L136:L139"/>
    <mergeCell ref="B140:B143"/>
    <mergeCell ref="C140:C143"/>
    <mergeCell ref="E140:E143"/>
    <mergeCell ref="F140:F143"/>
    <mergeCell ref="G140:G143"/>
    <mergeCell ref="H140:H143"/>
    <mergeCell ref="I140:I143"/>
    <mergeCell ref="B136:B139"/>
    <mergeCell ref="C136:C139"/>
    <mergeCell ref="E136:E139"/>
    <mergeCell ref="F136:F139"/>
    <mergeCell ref="G136:G139"/>
    <mergeCell ref="H136:H139"/>
    <mergeCell ref="I136:I139"/>
    <mergeCell ref="H150:H153"/>
    <mergeCell ref="I150:I153"/>
    <mergeCell ref="J150:J153"/>
    <mergeCell ref="K150:K153"/>
    <mergeCell ref="L150:L153"/>
    <mergeCell ref="B154:B158"/>
    <mergeCell ref="C154:C158"/>
    <mergeCell ref="D154:D158"/>
    <mergeCell ref="E154:E158"/>
    <mergeCell ref="J154:J158"/>
    <mergeCell ref="N144:N149"/>
    <mergeCell ref="M148:M149"/>
    <mergeCell ref="O148:O149"/>
    <mergeCell ref="P148:P149"/>
    <mergeCell ref="Q148:Q149"/>
    <mergeCell ref="B150:B153"/>
    <mergeCell ref="C150:C153"/>
    <mergeCell ref="E150:E153"/>
    <mergeCell ref="F150:F153"/>
    <mergeCell ref="G150:G153"/>
    <mergeCell ref="K159:K160"/>
    <mergeCell ref="L159:L160"/>
    <mergeCell ref="N159:N161"/>
    <mergeCell ref="F161:F162"/>
    <mergeCell ref="G161:G162"/>
    <mergeCell ref="H161:H162"/>
    <mergeCell ref="I161:I162"/>
    <mergeCell ref="K161:K162"/>
    <mergeCell ref="L161:L162"/>
    <mergeCell ref="N154:N158"/>
    <mergeCell ref="B159:B162"/>
    <mergeCell ref="C159:C162"/>
    <mergeCell ref="D159:D161"/>
    <mergeCell ref="E159:E162"/>
    <mergeCell ref="F159:F160"/>
    <mergeCell ref="G159:G160"/>
    <mergeCell ref="H159:H160"/>
    <mergeCell ref="I159:I160"/>
    <mergeCell ref="J159:J162"/>
    <mergeCell ref="H163:H164"/>
    <mergeCell ref="I163:I164"/>
    <mergeCell ref="J163:J166"/>
    <mergeCell ref="K163:K164"/>
    <mergeCell ref="L163:L164"/>
    <mergeCell ref="N163:N165"/>
    <mergeCell ref="H165:H166"/>
    <mergeCell ref="I165:I166"/>
    <mergeCell ref="K165:K166"/>
    <mergeCell ref="L165:L166"/>
    <mergeCell ref="B163:B166"/>
    <mergeCell ref="C163:C166"/>
    <mergeCell ref="D163:D165"/>
    <mergeCell ref="E163:E166"/>
    <mergeCell ref="F163:F164"/>
    <mergeCell ref="G163:G164"/>
    <mergeCell ref="F165:F166"/>
    <mergeCell ref="G165:G166"/>
    <mergeCell ref="H167:H168"/>
    <mergeCell ref="I167:I168"/>
    <mergeCell ref="J167:J170"/>
    <mergeCell ref="K167:K168"/>
    <mergeCell ref="L167:L168"/>
    <mergeCell ref="N167:N169"/>
    <mergeCell ref="H169:H170"/>
    <mergeCell ref="I169:I170"/>
    <mergeCell ref="K169:K170"/>
    <mergeCell ref="L169:L170"/>
    <mergeCell ref="B167:B170"/>
    <mergeCell ref="C167:C170"/>
    <mergeCell ref="D167:D169"/>
    <mergeCell ref="E167:E170"/>
    <mergeCell ref="F167:F168"/>
    <mergeCell ref="G167:G168"/>
    <mergeCell ref="F169:F170"/>
    <mergeCell ref="G169:G170"/>
    <mergeCell ref="F177:F178"/>
    <mergeCell ref="G177:G178"/>
    <mergeCell ref="H171:H172"/>
    <mergeCell ref="I171:I172"/>
    <mergeCell ref="J171:J174"/>
    <mergeCell ref="K171:K172"/>
    <mergeCell ref="L171:L172"/>
    <mergeCell ref="N171:N173"/>
    <mergeCell ref="H173:H174"/>
    <mergeCell ref="I173:I174"/>
    <mergeCell ref="K173:K174"/>
    <mergeCell ref="L173:L174"/>
    <mergeCell ref="B171:B174"/>
    <mergeCell ref="C171:C174"/>
    <mergeCell ref="D171:D173"/>
    <mergeCell ref="E171:E174"/>
    <mergeCell ref="F171:F172"/>
    <mergeCell ref="G171:G172"/>
    <mergeCell ref="F173:F174"/>
    <mergeCell ref="G173:G174"/>
    <mergeCell ref="H180:H181"/>
    <mergeCell ref="I180:I181"/>
    <mergeCell ref="J180:J183"/>
    <mergeCell ref="K180:K181"/>
    <mergeCell ref="L180:L181"/>
    <mergeCell ref="N180:N182"/>
    <mergeCell ref="M178:M179"/>
    <mergeCell ref="O178:O179"/>
    <mergeCell ref="P178:P179"/>
    <mergeCell ref="Q178:Q179"/>
    <mergeCell ref="B180:B182"/>
    <mergeCell ref="C180:C183"/>
    <mergeCell ref="D180:D182"/>
    <mergeCell ref="E180:E183"/>
    <mergeCell ref="F180:F181"/>
    <mergeCell ref="G180:G181"/>
    <mergeCell ref="H175:H176"/>
    <mergeCell ref="I175:I176"/>
    <mergeCell ref="J175:J179"/>
    <mergeCell ref="K175:K176"/>
    <mergeCell ref="L175:L176"/>
    <mergeCell ref="N175:N177"/>
    <mergeCell ref="H177:H178"/>
    <mergeCell ref="I177:I178"/>
    <mergeCell ref="K177:K179"/>
    <mergeCell ref="L177:L179"/>
    <mergeCell ref="B175:B179"/>
    <mergeCell ref="C175:C179"/>
    <mergeCell ref="D175:D177"/>
    <mergeCell ref="E175:E179"/>
    <mergeCell ref="F175:F176"/>
    <mergeCell ref="G175:G176"/>
    <mergeCell ref="K184:K185"/>
    <mergeCell ref="L184:L185"/>
    <mergeCell ref="N184:N186"/>
    <mergeCell ref="H186:H187"/>
    <mergeCell ref="I186:I187"/>
    <mergeCell ref="K186:K187"/>
    <mergeCell ref="L186:L187"/>
    <mergeCell ref="B184:B187"/>
    <mergeCell ref="C184:C187"/>
    <mergeCell ref="D184:D186"/>
    <mergeCell ref="E184:E187"/>
    <mergeCell ref="F184:F185"/>
    <mergeCell ref="G184:G185"/>
    <mergeCell ref="F186:F187"/>
    <mergeCell ref="G186:G187"/>
    <mergeCell ref="F182:F183"/>
    <mergeCell ref="G182:G183"/>
    <mergeCell ref="H182:H183"/>
    <mergeCell ref="I182:I183"/>
    <mergeCell ref="K182:K183"/>
    <mergeCell ref="L182:L183"/>
    <mergeCell ref="H196:H199"/>
    <mergeCell ref="I196:I199"/>
    <mergeCell ref="J196:J199"/>
    <mergeCell ref="K196:K199"/>
    <mergeCell ref="L196:L199"/>
    <mergeCell ref="J200:J203"/>
    <mergeCell ref="K200:K203"/>
    <mergeCell ref="L200:L203"/>
    <mergeCell ref="I200:I203"/>
    <mergeCell ref="N196:N198"/>
    <mergeCell ref="I188:I191"/>
    <mergeCell ref="J188:J191"/>
    <mergeCell ref="K188:K191"/>
    <mergeCell ref="L188:L191"/>
    <mergeCell ref="N188:N190"/>
    <mergeCell ref="B196:B199"/>
    <mergeCell ref="C196:C199"/>
    <mergeCell ref="E196:E199"/>
    <mergeCell ref="F196:F199"/>
    <mergeCell ref="G196:G199"/>
    <mergeCell ref="B188:B191"/>
    <mergeCell ref="C188:C191"/>
    <mergeCell ref="E188:E191"/>
    <mergeCell ref="F188:F191"/>
    <mergeCell ref="G188:G191"/>
    <mergeCell ref="I192:I195"/>
    <mergeCell ref="J192:J195"/>
    <mergeCell ref="K192:K195"/>
    <mergeCell ref="L192:L195"/>
    <mergeCell ref="N192:N194"/>
    <mergeCell ref="H208:H211"/>
    <mergeCell ref="I208:I211"/>
    <mergeCell ref="J208:J211"/>
    <mergeCell ref="K208:K211"/>
    <mergeCell ref="L208:L211"/>
    <mergeCell ref="N208:N210"/>
    <mergeCell ref="I204:I207"/>
    <mergeCell ref="J204:J207"/>
    <mergeCell ref="K204:K207"/>
    <mergeCell ref="L204:L207"/>
    <mergeCell ref="N204:N206"/>
    <mergeCell ref="B200:B203"/>
    <mergeCell ref="B208:B211"/>
    <mergeCell ref="C208:C211"/>
    <mergeCell ref="E208:E211"/>
    <mergeCell ref="F208:F211"/>
    <mergeCell ref="G208:G211"/>
    <mergeCell ref="C200:C203"/>
    <mergeCell ref="E200:E203"/>
    <mergeCell ref="F200:F203"/>
    <mergeCell ref="G200:G203"/>
    <mergeCell ref="B204:B207"/>
    <mergeCell ref="C204:C207"/>
    <mergeCell ref="E204:E207"/>
    <mergeCell ref="F204:F207"/>
    <mergeCell ref="G204:G207"/>
    <mergeCell ref="H204:H207"/>
    <mergeCell ref="H200:H203"/>
    <mergeCell ref="H216:H219"/>
    <mergeCell ref="I216:I219"/>
    <mergeCell ref="J216:J219"/>
    <mergeCell ref="K216:K219"/>
    <mergeCell ref="L216:L219"/>
    <mergeCell ref="N216:N218"/>
    <mergeCell ref="I212:I215"/>
    <mergeCell ref="J212:J215"/>
    <mergeCell ref="K212:K215"/>
    <mergeCell ref="L212:L215"/>
    <mergeCell ref="N212:N214"/>
    <mergeCell ref="B216:B219"/>
    <mergeCell ref="C216:C219"/>
    <mergeCell ref="E216:E219"/>
    <mergeCell ref="F216:F219"/>
    <mergeCell ref="G216:G219"/>
    <mergeCell ref="B212:B215"/>
    <mergeCell ref="C212:C215"/>
    <mergeCell ref="E212:E215"/>
    <mergeCell ref="F212:F215"/>
    <mergeCell ref="G212:G215"/>
    <mergeCell ref="H212:H215"/>
    <mergeCell ref="I236:I239"/>
    <mergeCell ref="J236:J239"/>
    <mergeCell ref="K236:K239"/>
    <mergeCell ref="L236:L239"/>
    <mergeCell ref="H224:H227"/>
    <mergeCell ref="I224:I227"/>
    <mergeCell ref="J224:J227"/>
    <mergeCell ref="K224:K227"/>
    <mergeCell ref="L224:L227"/>
    <mergeCell ref="N224:N226"/>
    <mergeCell ref="I220:I223"/>
    <mergeCell ref="J220:J223"/>
    <mergeCell ref="K220:K223"/>
    <mergeCell ref="L220:L223"/>
    <mergeCell ref="N220:N222"/>
    <mergeCell ref="B224:B227"/>
    <mergeCell ref="C224:C227"/>
    <mergeCell ref="E224:E227"/>
    <mergeCell ref="F224:F227"/>
    <mergeCell ref="G224:G227"/>
    <mergeCell ref="B220:B223"/>
    <mergeCell ref="C220:C223"/>
    <mergeCell ref="E220:E223"/>
    <mergeCell ref="F220:F223"/>
    <mergeCell ref="G220:G223"/>
    <mergeCell ref="H220:H223"/>
    <mergeCell ref="K232:K235"/>
    <mergeCell ref="L232:L235"/>
    <mergeCell ref="N232:N234"/>
    <mergeCell ref="I228:I231"/>
    <mergeCell ref="J228:J231"/>
    <mergeCell ref="K228:K231"/>
    <mergeCell ref="L228:L231"/>
    <mergeCell ref="N228:N230"/>
    <mergeCell ref="B232:B235"/>
    <mergeCell ref="C232:C235"/>
    <mergeCell ref="E232:E235"/>
    <mergeCell ref="F232:F235"/>
    <mergeCell ref="G232:G235"/>
    <mergeCell ref="B228:B231"/>
    <mergeCell ref="C228:C231"/>
    <mergeCell ref="E228:E231"/>
    <mergeCell ref="F228:F231"/>
    <mergeCell ref="G228:G231"/>
    <mergeCell ref="H228:H231"/>
    <mergeCell ref="H256:H259"/>
    <mergeCell ref="I256:I259"/>
    <mergeCell ref="J256:J259"/>
    <mergeCell ref="K256:K259"/>
    <mergeCell ref="L256:L259"/>
    <mergeCell ref="N256:N258"/>
    <mergeCell ref="I252:I255"/>
    <mergeCell ref="J252:J255"/>
    <mergeCell ref="K252:K255"/>
    <mergeCell ref="L252:L255"/>
    <mergeCell ref="N252:N254"/>
    <mergeCell ref="B256:B259"/>
    <mergeCell ref="C256:C259"/>
    <mergeCell ref="E256:E259"/>
    <mergeCell ref="F256:F259"/>
    <mergeCell ref="G256:G259"/>
    <mergeCell ref="B252:B255"/>
    <mergeCell ref="C252:C255"/>
    <mergeCell ref="E252:E255"/>
    <mergeCell ref="F252:F255"/>
    <mergeCell ref="G252:G255"/>
    <mergeCell ref="H252:H255"/>
    <mergeCell ref="H264:H267"/>
    <mergeCell ref="I264:I267"/>
    <mergeCell ref="J264:J267"/>
    <mergeCell ref="K264:K267"/>
    <mergeCell ref="L264:L267"/>
    <mergeCell ref="N264:N266"/>
    <mergeCell ref="I260:I263"/>
    <mergeCell ref="J260:J263"/>
    <mergeCell ref="K260:K263"/>
    <mergeCell ref="L260:L263"/>
    <mergeCell ref="N260:N262"/>
    <mergeCell ref="B264:B267"/>
    <mergeCell ref="C264:C267"/>
    <mergeCell ref="E264:E267"/>
    <mergeCell ref="F264:F267"/>
    <mergeCell ref="G264:G267"/>
    <mergeCell ref="B260:B263"/>
    <mergeCell ref="C260:C263"/>
    <mergeCell ref="E260:E263"/>
    <mergeCell ref="F260:F263"/>
    <mergeCell ref="G260:G263"/>
    <mergeCell ref="H260:H263"/>
    <mergeCell ref="H272:H275"/>
    <mergeCell ref="I272:I275"/>
    <mergeCell ref="J272:J275"/>
    <mergeCell ref="K272:K275"/>
    <mergeCell ref="L272:L275"/>
    <mergeCell ref="N272:N274"/>
    <mergeCell ref="I268:I271"/>
    <mergeCell ref="J268:J271"/>
    <mergeCell ref="K268:K271"/>
    <mergeCell ref="L268:L271"/>
    <mergeCell ref="N268:N270"/>
    <mergeCell ref="B272:B275"/>
    <mergeCell ref="C272:C275"/>
    <mergeCell ref="E272:E275"/>
    <mergeCell ref="F272:F275"/>
    <mergeCell ref="G272:G275"/>
    <mergeCell ref="B268:B271"/>
    <mergeCell ref="C268:C271"/>
    <mergeCell ref="E268:E271"/>
    <mergeCell ref="F268:F271"/>
    <mergeCell ref="G268:G271"/>
    <mergeCell ref="H268:H271"/>
    <mergeCell ref="H280:H283"/>
    <mergeCell ref="I280:I283"/>
    <mergeCell ref="J280:J283"/>
    <mergeCell ref="K280:K283"/>
    <mergeCell ref="L280:L283"/>
    <mergeCell ref="N280:N282"/>
    <mergeCell ref="I276:I279"/>
    <mergeCell ref="J276:J279"/>
    <mergeCell ref="K276:K279"/>
    <mergeCell ref="L276:L279"/>
    <mergeCell ref="N276:N278"/>
    <mergeCell ref="B280:B283"/>
    <mergeCell ref="C280:C283"/>
    <mergeCell ref="E280:E283"/>
    <mergeCell ref="F280:F283"/>
    <mergeCell ref="G280:G283"/>
    <mergeCell ref="B276:B279"/>
    <mergeCell ref="C276:C279"/>
    <mergeCell ref="E276:E279"/>
    <mergeCell ref="F276:F279"/>
    <mergeCell ref="G276:G279"/>
    <mergeCell ref="H276:H279"/>
    <mergeCell ref="H288:H291"/>
    <mergeCell ref="I288:I291"/>
    <mergeCell ref="J288:J291"/>
    <mergeCell ref="K288:K291"/>
    <mergeCell ref="L288:L291"/>
    <mergeCell ref="N288:N290"/>
    <mergeCell ref="I284:I287"/>
    <mergeCell ref="J284:J287"/>
    <mergeCell ref="K284:K287"/>
    <mergeCell ref="L284:L287"/>
    <mergeCell ref="N284:N286"/>
    <mergeCell ref="B288:B291"/>
    <mergeCell ref="C288:C291"/>
    <mergeCell ref="E288:E291"/>
    <mergeCell ref="F288:F291"/>
    <mergeCell ref="G288:G291"/>
    <mergeCell ref="B284:B287"/>
    <mergeCell ref="C284:C287"/>
    <mergeCell ref="E284:E287"/>
    <mergeCell ref="F284:F287"/>
    <mergeCell ref="G284:G287"/>
    <mergeCell ref="H284:H287"/>
    <mergeCell ref="H296:H299"/>
    <mergeCell ref="I296:I299"/>
    <mergeCell ref="J296:J299"/>
    <mergeCell ref="K296:K299"/>
    <mergeCell ref="L296:L299"/>
    <mergeCell ref="N296:N298"/>
    <mergeCell ref="I292:I295"/>
    <mergeCell ref="J292:J295"/>
    <mergeCell ref="K292:K295"/>
    <mergeCell ref="L292:L295"/>
    <mergeCell ref="N292:N294"/>
    <mergeCell ref="B296:B299"/>
    <mergeCell ref="C296:C299"/>
    <mergeCell ref="E296:E299"/>
    <mergeCell ref="F296:F299"/>
    <mergeCell ref="G296:G299"/>
    <mergeCell ref="B292:B295"/>
    <mergeCell ref="C292:C295"/>
    <mergeCell ref="E292:E295"/>
    <mergeCell ref="F292:F295"/>
    <mergeCell ref="G292:G295"/>
    <mergeCell ref="H292:H295"/>
    <mergeCell ref="H304:H307"/>
    <mergeCell ref="I304:I307"/>
    <mergeCell ref="J304:J307"/>
    <mergeCell ref="K304:K307"/>
    <mergeCell ref="L304:L307"/>
    <mergeCell ref="N304:N306"/>
    <mergeCell ref="I300:I303"/>
    <mergeCell ref="J300:J303"/>
    <mergeCell ref="K300:K303"/>
    <mergeCell ref="L300:L303"/>
    <mergeCell ref="N300:N302"/>
    <mergeCell ref="B304:B307"/>
    <mergeCell ref="C304:C307"/>
    <mergeCell ref="E304:E307"/>
    <mergeCell ref="F304:F307"/>
    <mergeCell ref="G304:G307"/>
    <mergeCell ref="B300:B303"/>
    <mergeCell ref="C300:C303"/>
    <mergeCell ref="E300:E303"/>
    <mergeCell ref="F300:F303"/>
    <mergeCell ref="G300:G303"/>
    <mergeCell ref="H300:H303"/>
    <mergeCell ref="H312:H315"/>
    <mergeCell ref="I312:I315"/>
    <mergeCell ref="J312:J315"/>
    <mergeCell ref="K312:K315"/>
    <mergeCell ref="L312:L315"/>
    <mergeCell ref="N312:N314"/>
    <mergeCell ref="I308:I311"/>
    <mergeCell ref="J308:J311"/>
    <mergeCell ref="K308:K311"/>
    <mergeCell ref="L308:L311"/>
    <mergeCell ref="N308:N310"/>
    <mergeCell ref="B312:B315"/>
    <mergeCell ref="C312:C315"/>
    <mergeCell ref="E312:E315"/>
    <mergeCell ref="F312:F315"/>
    <mergeCell ref="G312:G315"/>
    <mergeCell ref="B308:B311"/>
    <mergeCell ref="C308:C311"/>
    <mergeCell ref="E308:E311"/>
    <mergeCell ref="F308:F311"/>
    <mergeCell ref="G308:G311"/>
    <mergeCell ref="H308:H311"/>
    <mergeCell ref="H320:H323"/>
    <mergeCell ref="I320:I323"/>
    <mergeCell ref="J320:J323"/>
    <mergeCell ref="K320:K323"/>
    <mergeCell ref="L320:L323"/>
    <mergeCell ref="N320:N322"/>
    <mergeCell ref="I316:I319"/>
    <mergeCell ref="J316:J319"/>
    <mergeCell ref="K316:K319"/>
    <mergeCell ref="L316:L319"/>
    <mergeCell ref="N316:N318"/>
    <mergeCell ref="B320:B323"/>
    <mergeCell ref="C320:C323"/>
    <mergeCell ref="E320:E323"/>
    <mergeCell ref="F320:F323"/>
    <mergeCell ref="G320:G323"/>
    <mergeCell ref="B316:B319"/>
    <mergeCell ref="C316:C319"/>
    <mergeCell ref="E316:E319"/>
    <mergeCell ref="F316:F319"/>
    <mergeCell ref="G316:G319"/>
    <mergeCell ref="H316:H319"/>
    <mergeCell ref="H328:H331"/>
    <mergeCell ref="I328:I331"/>
    <mergeCell ref="J328:J331"/>
    <mergeCell ref="K328:K331"/>
    <mergeCell ref="L328:L331"/>
    <mergeCell ref="N328:N330"/>
    <mergeCell ref="I324:I327"/>
    <mergeCell ref="J324:J327"/>
    <mergeCell ref="K324:K327"/>
    <mergeCell ref="L324:L327"/>
    <mergeCell ref="N324:N326"/>
    <mergeCell ref="B328:B331"/>
    <mergeCell ref="C328:C331"/>
    <mergeCell ref="E328:E331"/>
    <mergeCell ref="F328:F331"/>
    <mergeCell ref="G328:G331"/>
    <mergeCell ref="B324:B327"/>
    <mergeCell ref="C324:C327"/>
    <mergeCell ref="E324:E327"/>
    <mergeCell ref="F324:F327"/>
    <mergeCell ref="G324:G327"/>
    <mergeCell ref="H324:H327"/>
    <mergeCell ref="I336:I339"/>
    <mergeCell ref="J336:J339"/>
    <mergeCell ref="K336:K339"/>
    <mergeCell ref="L336:L339"/>
    <mergeCell ref="B340:B343"/>
    <mergeCell ref="C340:C343"/>
    <mergeCell ref="E340:E343"/>
    <mergeCell ref="F340:F343"/>
    <mergeCell ref="G340:G343"/>
    <mergeCell ref="H340:H343"/>
    <mergeCell ref="I332:I335"/>
    <mergeCell ref="J332:J335"/>
    <mergeCell ref="K332:K335"/>
    <mergeCell ref="L332:L335"/>
    <mergeCell ref="B336:B339"/>
    <mergeCell ref="C336:C339"/>
    <mergeCell ref="E336:E339"/>
    <mergeCell ref="F336:F339"/>
    <mergeCell ref="G336:G339"/>
    <mergeCell ref="H336:H339"/>
    <mergeCell ref="B332:B335"/>
    <mergeCell ref="C332:C335"/>
    <mergeCell ref="E332:E335"/>
    <mergeCell ref="F332:F335"/>
    <mergeCell ref="G332:G335"/>
    <mergeCell ref="H332:H335"/>
    <mergeCell ref="I344:I347"/>
    <mergeCell ref="J344:J347"/>
    <mergeCell ref="K344:K347"/>
    <mergeCell ref="L344:L347"/>
    <mergeCell ref="B348:B351"/>
    <mergeCell ref="C348:C351"/>
    <mergeCell ref="E348:E351"/>
    <mergeCell ref="F348:F351"/>
    <mergeCell ref="G348:G351"/>
    <mergeCell ref="H348:H351"/>
    <mergeCell ref="I340:I343"/>
    <mergeCell ref="J340:J343"/>
    <mergeCell ref="K340:K343"/>
    <mergeCell ref="L340:L343"/>
    <mergeCell ref="B344:B347"/>
    <mergeCell ref="C344:C347"/>
    <mergeCell ref="E344:E347"/>
    <mergeCell ref="F344:F347"/>
    <mergeCell ref="G344:G347"/>
    <mergeCell ref="H344:H347"/>
    <mergeCell ref="I352:I355"/>
    <mergeCell ref="J352:J355"/>
    <mergeCell ref="K352:K355"/>
    <mergeCell ref="L352:L355"/>
    <mergeCell ref="B356:B359"/>
    <mergeCell ref="C356:C359"/>
    <mergeCell ref="E356:E359"/>
    <mergeCell ref="F356:F359"/>
    <mergeCell ref="G356:G359"/>
    <mergeCell ref="H356:H359"/>
    <mergeCell ref="I348:I351"/>
    <mergeCell ref="J348:J351"/>
    <mergeCell ref="K348:K351"/>
    <mergeCell ref="L348:L351"/>
    <mergeCell ref="B352:B355"/>
    <mergeCell ref="C352:C355"/>
    <mergeCell ref="E352:E355"/>
    <mergeCell ref="F352:F355"/>
    <mergeCell ref="G352:G355"/>
    <mergeCell ref="H352:H355"/>
    <mergeCell ref="I360:I363"/>
    <mergeCell ref="J360:J363"/>
    <mergeCell ref="K360:K363"/>
    <mergeCell ref="L360:L363"/>
    <mergeCell ref="B364:B367"/>
    <mergeCell ref="C364:C367"/>
    <mergeCell ref="E364:E367"/>
    <mergeCell ref="F364:F367"/>
    <mergeCell ref="G364:G367"/>
    <mergeCell ref="H364:H367"/>
    <mergeCell ref="I356:I359"/>
    <mergeCell ref="J356:J359"/>
    <mergeCell ref="K356:K359"/>
    <mergeCell ref="L356:L359"/>
    <mergeCell ref="B360:B363"/>
    <mergeCell ref="C360:C363"/>
    <mergeCell ref="E360:E363"/>
    <mergeCell ref="F360:F363"/>
    <mergeCell ref="G360:G363"/>
    <mergeCell ref="H360:H363"/>
    <mergeCell ref="I368:I371"/>
    <mergeCell ref="J368:J371"/>
    <mergeCell ref="K368:K371"/>
    <mergeCell ref="L368:L371"/>
    <mergeCell ref="B372:B376"/>
    <mergeCell ref="C372:C376"/>
    <mergeCell ref="D372:D376"/>
    <mergeCell ref="E372:E376"/>
    <mergeCell ref="F372:F376"/>
    <mergeCell ref="J372:J376"/>
    <mergeCell ref="L383:L384"/>
    <mergeCell ref="I364:I367"/>
    <mergeCell ref="J364:J367"/>
    <mergeCell ref="K364:K367"/>
    <mergeCell ref="L364:L367"/>
    <mergeCell ref="B368:B371"/>
    <mergeCell ref="C368:C371"/>
    <mergeCell ref="E368:E371"/>
    <mergeCell ref="F368:F371"/>
    <mergeCell ref="G368:G371"/>
    <mergeCell ref="H368:H371"/>
    <mergeCell ref="H381:H382"/>
    <mergeCell ref="I381:I382"/>
    <mergeCell ref="J381:J384"/>
    <mergeCell ref="K381:K382"/>
    <mergeCell ref="L381:L382"/>
    <mergeCell ref="F383:F384"/>
    <mergeCell ref="G383:G384"/>
    <mergeCell ref="H383:H384"/>
    <mergeCell ref="I383:I384"/>
    <mergeCell ref="K383:K384"/>
    <mergeCell ref="I377:I380"/>
    <mergeCell ref="J377:J380"/>
    <mergeCell ref="K377:K380"/>
    <mergeCell ref="L377:L380"/>
    <mergeCell ref="B381:B384"/>
    <mergeCell ref="C381:C384"/>
    <mergeCell ref="D381:D383"/>
    <mergeCell ref="E381:E384"/>
    <mergeCell ref="F381:F382"/>
    <mergeCell ref="G381:G382"/>
    <mergeCell ref="B377:B380"/>
    <mergeCell ref="C377:C380"/>
    <mergeCell ref="E377:E380"/>
    <mergeCell ref="F377:F380"/>
    <mergeCell ref="G377:G380"/>
    <mergeCell ref="H377:H380"/>
    <mergeCell ref="L389:L392"/>
    <mergeCell ref="B393:B396"/>
    <mergeCell ref="C393:C396"/>
    <mergeCell ref="D393:D395"/>
    <mergeCell ref="E393:E396"/>
    <mergeCell ref="J393:J396"/>
    <mergeCell ref="F395:F396"/>
    <mergeCell ref="G395:G396"/>
    <mergeCell ref="H395:H396"/>
    <mergeCell ref="I395:I396"/>
    <mergeCell ref="L385:L388"/>
    <mergeCell ref="B389:B392"/>
    <mergeCell ref="C389:C392"/>
    <mergeCell ref="E389:E392"/>
    <mergeCell ref="F389:F392"/>
    <mergeCell ref="G389:G392"/>
    <mergeCell ref="H389:H392"/>
    <mergeCell ref="I389:I392"/>
    <mergeCell ref="J389:J392"/>
    <mergeCell ref="K389:K392"/>
    <mergeCell ref="B385:B388"/>
    <mergeCell ref="C385:C388"/>
    <mergeCell ref="E385:E388"/>
    <mergeCell ref="F385:F388"/>
    <mergeCell ref="G385:G388"/>
    <mergeCell ref="H385:H388"/>
    <mergeCell ref="I385:I388"/>
    <mergeCell ref="J385:J388"/>
    <mergeCell ref="K385:K388"/>
    <mergeCell ref="K397:K400"/>
    <mergeCell ref="L397:L400"/>
    <mergeCell ref="B401:B404"/>
    <mergeCell ref="C401:C404"/>
    <mergeCell ref="E401:E404"/>
    <mergeCell ref="F401:F404"/>
    <mergeCell ref="G401:G404"/>
    <mergeCell ref="H401:H404"/>
    <mergeCell ref="I401:I404"/>
    <mergeCell ref="J401:J404"/>
    <mergeCell ref="K395:K396"/>
    <mergeCell ref="L395:L396"/>
    <mergeCell ref="B397:B400"/>
    <mergeCell ref="C397:C400"/>
    <mergeCell ref="E397:E400"/>
    <mergeCell ref="F397:F400"/>
    <mergeCell ref="G397:G400"/>
    <mergeCell ref="H397:H400"/>
    <mergeCell ref="I397:I400"/>
    <mergeCell ref="J397:J400"/>
    <mergeCell ref="K405:K408"/>
    <mergeCell ref="L405:L408"/>
    <mergeCell ref="B409:B412"/>
    <mergeCell ref="C409:C412"/>
    <mergeCell ref="E409:E412"/>
    <mergeCell ref="F409:F412"/>
    <mergeCell ref="G409:G412"/>
    <mergeCell ref="H409:H412"/>
    <mergeCell ref="I409:I412"/>
    <mergeCell ref="J409:J412"/>
    <mergeCell ref="K401:K404"/>
    <mergeCell ref="L401:L404"/>
    <mergeCell ref="B405:B408"/>
    <mergeCell ref="C405:C408"/>
    <mergeCell ref="E405:E408"/>
    <mergeCell ref="F405:F408"/>
    <mergeCell ref="G405:G408"/>
    <mergeCell ref="H405:H408"/>
    <mergeCell ref="I405:I408"/>
    <mergeCell ref="J405:J408"/>
    <mergeCell ref="K413:K416"/>
    <mergeCell ref="L413:L416"/>
    <mergeCell ref="B417:B420"/>
    <mergeCell ref="C417:C420"/>
    <mergeCell ref="D417:D419"/>
    <mergeCell ref="E417:E420"/>
    <mergeCell ref="F417:F418"/>
    <mergeCell ref="G417:G418"/>
    <mergeCell ref="H417:H418"/>
    <mergeCell ref="I417:I418"/>
    <mergeCell ref="K409:K412"/>
    <mergeCell ref="L409:L412"/>
    <mergeCell ref="B413:B416"/>
    <mergeCell ref="C413:C416"/>
    <mergeCell ref="E413:E416"/>
    <mergeCell ref="F413:F416"/>
    <mergeCell ref="G413:G416"/>
    <mergeCell ref="H413:H416"/>
    <mergeCell ref="I413:I416"/>
    <mergeCell ref="J413:J416"/>
    <mergeCell ref="I421:I424"/>
    <mergeCell ref="J421:J424"/>
    <mergeCell ref="K421:K424"/>
    <mergeCell ref="L421:L424"/>
    <mergeCell ref="B425:B428"/>
    <mergeCell ref="C425:C428"/>
    <mergeCell ref="E425:E428"/>
    <mergeCell ref="F425:F428"/>
    <mergeCell ref="G425:G428"/>
    <mergeCell ref="H425:H428"/>
    <mergeCell ref="B421:B424"/>
    <mergeCell ref="C421:C424"/>
    <mergeCell ref="E421:E424"/>
    <mergeCell ref="F421:F424"/>
    <mergeCell ref="G421:G424"/>
    <mergeCell ref="H421:H424"/>
    <mergeCell ref="J417:J420"/>
    <mergeCell ref="K417:K418"/>
    <mergeCell ref="L417:L418"/>
    <mergeCell ref="F419:F420"/>
    <mergeCell ref="G419:G420"/>
    <mergeCell ref="H419:H420"/>
    <mergeCell ref="I419:I420"/>
    <mergeCell ref="K419:K420"/>
    <mergeCell ref="L419:L420"/>
    <mergeCell ref="K437:K440"/>
    <mergeCell ref="L437:L440"/>
    <mergeCell ref="B441:B444"/>
    <mergeCell ref="C441:C444"/>
    <mergeCell ref="E441:E444"/>
    <mergeCell ref="F441:F444"/>
    <mergeCell ref="G441:G444"/>
    <mergeCell ref="H441:H444"/>
    <mergeCell ref="I441:I444"/>
    <mergeCell ref="J441:J444"/>
    <mergeCell ref="I425:I428"/>
    <mergeCell ref="J425:J428"/>
    <mergeCell ref="K425:K428"/>
    <mergeCell ref="L425:L428"/>
    <mergeCell ref="B437:B440"/>
    <mergeCell ref="C437:C440"/>
    <mergeCell ref="E437:E440"/>
    <mergeCell ref="F437:F440"/>
    <mergeCell ref="G437:G440"/>
    <mergeCell ref="H437:H440"/>
    <mergeCell ref="F429:F432"/>
    <mergeCell ref="G429:G432"/>
    <mergeCell ref="H429:H432"/>
    <mergeCell ref="I429:I432"/>
    <mergeCell ref="J429:J432"/>
    <mergeCell ref="K429:K432"/>
    <mergeCell ref="L429:L432"/>
    <mergeCell ref="E429:E432"/>
    <mergeCell ref="B429:B432"/>
    <mergeCell ref="C429:C432"/>
    <mergeCell ref="B433:B436"/>
    <mergeCell ref="C433:C436"/>
    <mergeCell ref="K445:K448"/>
    <mergeCell ref="L445:L448"/>
    <mergeCell ref="B449:B452"/>
    <mergeCell ref="C449:C452"/>
    <mergeCell ref="E449:E452"/>
    <mergeCell ref="F449:F452"/>
    <mergeCell ref="G449:G452"/>
    <mergeCell ref="H449:H452"/>
    <mergeCell ref="I449:I452"/>
    <mergeCell ref="J449:J452"/>
    <mergeCell ref="K441:K444"/>
    <mergeCell ref="L441:L444"/>
    <mergeCell ref="B445:B448"/>
    <mergeCell ref="C445:C448"/>
    <mergeCell ref="E445:E448"/>
    <mergeCell ref="F445:F448"/>
    <mergeCell ref="G445:G448"/>
    <mergeCell ref="H445:H448"/>
    <mergeCell ref="I445:I448"/>
    <mergeCell ref="J445:J448"/>
    <mergeCell ref="K453:K456"/>
    <mergeCell ref="L453:L456"/>
    <mergeCell ref="B457:B460"/>
    <mergeCell ref="C457:C460"/>
    <mergeCell ref="E457:E460"/>
    <mergeCell ref="F457:F460"/>
    <mergeCell ref="G457:G460"/>
    <mergeCell ref="H457:H460"/>
    <mergeCell ref="I457:I460"/>
    <mergeCell ref="J457:J460"/>
    <mergeCell ref="K449:K452"/>
    <mergeCell ref="L449:L452"/>
    <mergeCell ref="B453:B456"/>
    <mergeCell ref="C453:C456"/>
    <mergeCell ref="E453:E456"/>
    <mergeCell ref="F453:F456"/>
    <mergeCell ref="G453:G456"/>
    <mergeCell ref="H453:H456"/>
    <mergeCell ref="I453:I456"/>
    <mergeCell ref="J453:J456"/>
    <mergeCell ref="K461:K464"/>
    <mergeCell ref="L461:L464"/>
    <mergeCell ref="B465:B468"/>
    <mergeCell ref="C465:C468"/>
    <mergeCell ref="E465:E468"/>
    <mergeCell ref="F465:F468"/>
    <mergeCell ref="G465:G468"/>
    <mergeCell ref="H465:H468"/>
    <mergeCell ref="I465:I468"/>
    <mergeCell ref="J465:J468"/>
    <mergeCell ref="K457:K460"/>
    <mergeCell ref="L457:L460"/>
    <mergeCell ref="B461:B464"/>
    <mergeCell ref="C461:C464"/>
    <mergeCell ref="E461:E464"/>
    <mergeCell ref="F461:F464"/>
    <mergeCell ref="G461:G464"/>
    <mergeCell ref="H461:H464"/>
    <mergeCell ref="I461:I464"/>
    <mergeCell ref="J461:J464"/>
    <mergeCell ref="K469:K472"/>
    <mergeCell ref="L469:L472"/>
    <mergeCell ref="B473:B476"/>
    <mergeCell ref="C473:C476"/>
    <mergeCell ref="E473:E476"/>
    <mergeCell ref="F473:F476"/>
    <mergeCell ref="G473:G476"/>
    <mergeCell ref="H473:H476"/>
    <mergeCell ref="I473:I476"/>
    <mergeCell ref="J473:J476"/>
    <mergeCell ref="K465:K468"/>
    <mergeCell ref="L465:L468"/>
    <mergeCell ref="B469:B472"/>
    <mergeCell ref="C469:C472"/>
    <mergeCell ref="E469:E472"/>
    <mergeCell ref="F469:F472"/>
    <mergeCell ref="G469:G472"/>
    <mergeCell ref="H469:H472"/>
    <mergeCell ref="I469:I472"/>
    <mergeCell ref="J469:J472"/>
    <mergeCell ref="K477:K480"/>
    <mergeCell ref="L477:L480"/>
    <mergeCell ref="B481:B484"/>
    <mergeCell ref="C481:C484"/>
    <mergeCell ref="E481:E484"/>
    <mergeCell ref="F481:F484"/>
    <mergeCell ref="G481:G484"/>
    <mergeCell ref="H481:H484"/>
    <mergeCell ref="I481:I484"/>
    <mergeCell ref="J481:J484"/>
    <mergeCell ref="K473:K476"/>
    <mergeCell ref="L473:L476"/>
    <mergeCell ref="B477:B480"/>
    <mergeCell ref="C477:C480"/>
    <mergeCell ref="E477:E480"/>
    <mergeCell ref="F477:F480"/>
    <mergeCell ref="G477:G480"/>
    <mergeCell ref="H477:H480"/>
    <mergeCell ref="I477:I480"/>
    <mergeCell ref="J477:J480"/>
    <mergeCell ref="K489:K492"/>
    <mergeCell ref="L489:L492"/>
    <mergeCell ref="B493:B496"/>
    <mergeCell ref="C493:C496"/>
    <mergeCell ref="E493:E496"/>
    <mergeCell ref="F493:F496"/>
    <mergeCell ref="G493:G496"/>
    <mergeCell ref="H493:H496"/>
    <mergeCell ref="I493:I496"/>
    <mergeCell ref="J493:J496"/>
    <mergeCell ref="K481:K484"/>
    <mergeCell ref="L481:L484"/>
    <mergeCell ref="B489:B492"/>
    <mergeCell ref="C489:C492"/>
    <mergeCell ref="E489:E492"/>
    <mergeCell ref="F489:F492"/>
    <mergeCell ref="G489:G492"/>
    <mergeCell ref="H489:H492"/>
    <mergeCell ref="I489:I492"/>
    <mergeCell ref="J489:J492"/>
    <mergeCell ref="B485:B488"/>
    <mergeCell ref="C485:C488"/>
    <mergeCell ref="E485:E488"/>
    <mergeCell ref="F485:F488"/>
    <mergeCell ref="G485:G488"/>
    <mergeCell ref="H485:H488"/>
    <mergeCell ref="I485:I488"/>
    <mergeCell ref="J485:J488"/>
    <mergeCell ref="K485:K488"/>
    <mergeCell ref="L485:L488"/>
    <mergeCell ref="C501:C504"/>
    <mergeCell ref="E501:E504"/>
    <mergeCell ref="F501:F504"/>
    <mergeCell ref="G501:G504"/>
    <mergeCell ref="H501:H504"/>
    <mergeCell ref="I501:I504"/>
    <mergeCell ref="J501:J504"/>
    <mergeCell ref="K493:K496"/>
    <mergeCell ref="L493:L496"/>
    <mergeCell ref="B497:B500"/>
    <mergeCell ref="C497:C500"/>
    <mergeCell ref="E497:E500"/>
    <mergeCell ref="F497:F500"/>
    <mergeCell ref="G497:G500"/>
    <mergeCell ref="H497:H500"/>
    <mergeCell ref="I497:I500"/>
    <mergeCell ref="J497:J500"/>
    <mergeCell ref="K513:K516"/>
    <mergeCell ref="L513:L516"/>
    <mergeCell ref="B517:B520"/>
    <mergeCell ref="C517:C520"/>
    <mergeCell ref="E517:E520"/>
    <mergeCell ref="F517:F520"/>
    <mergeCell ref="G517:G520"/>
    <mergeCell ref="H517:H520"/>
    <mergeCell ref="I517:I520"/>
    <mergeCell ref="J517:J520"/>
    <mergeCell ref="K509:K512"/>
    <mergeCell ref="L509:L512"/>
    <mergeCell ref="B513:B516"/>
    <mergeCell ref="C513:C516"/>
    <mergeCell ref="E513:E516"/>
    <mergeCell ref="F513:F516"/>
    <mergeCell ref="G513:G516"/>
    <mergeCell ref="H513:H516"/>
    <mergeCell ref="I513:I516"/>
    <mergeCell ref="J513:J516"/>
    <mergeCell ref="B509:B512"/>
    <mergeCell ref="C509:C512"/>
    <mergeCell ref="E509:E512"/>
    <mergeCell ref="F509:F512"/>
    <mergeCell ref="G509:G512"/>
    <mergeCell ref="H509:H512"/>
    <mergeCell ref="I509:I512"/>
    <mergeCell ref="J509:J512"/>
    <mergeCell ref="K521:K524"/>
    <mergeCell ref="L521:L524"/>
    <mergeCell ref="B525:B528"/>
    <mergeCell ref="C525:C528"/>
    <mergeCell ref="E525:E528"/>
    <mergeCell ref="F525:F528"/>
    <mergeCell ref="G525:G528"/>
    <mergeCell ref="H525:H528"/>
    <mergeCell ref="I525:I528"/>
    <mergeCell ref="J525:J528"/>
    <mergeCell ref="K517:K520"/>
    <mergeCell ref="L517:L520"/>
    <mergeCell ref="B521:B524"/>
    <mergeCell ref="C521:C524"/>
    <mergeCell ref="E521:E524"/>
    <mergeCell ref="F521:F524"/>
    <mergeCell ref="G521:G524"/>
    <mergeCell ref="H521:H524"/>
    <mergeCell ref="I521:I524"/>
    <mergeCell ref="J521:J524"/>
    <mergeCell ref="K529:K532"/>
    <mergeCell ref="L529:L532"/>
    <mergeCell ref="B533:B536"/>
    <mergeCell ref="C533:C536"/>
    <mergeCell ref="E533:E536"/>
    <mergeCell ref="F533:F536"/>
    <mergeCell ref="G533:G536"/>
    <mergeCell ref="H533:H536"/>
    <mergeCell ref="I533:I536"/>
    <mergeCell ref="J533:J536"/>
    <mergeCell ref="K525:K528"/>
    <mergeCell ref="L525:L528"/>
    <mergeCell ref="B529:B532"/>
    <mergeCell ref="C529:C532"/>
    <mergeCell ref="E529:E532"/>
    <mergeCell ref="F529:F532"/>
    <mergeCell ref="G529:G532"/>
    <mergeCell ref="H529:H532"/>
    <mergeCell ref="I529:I532"/>
    <mergeCell ref="J529:J532"/>
    <mergeCell ref="K537:K540"/>
    <mergeCell ref="L537:L540"/>
    <mergeCell ref="B541:B544"/>
    <mergeCell ref="C541:C544"/>
    <mergeCell ref="E541:E544"/>
    <mergeCell ref="F541:F544"/>
    <mergeCell ref="G541:G544"/>
    <mergeCell ref="H541:H544"/>
    <mergeCell ref="I541:I544"/>
    <mergeCell ref="J541:J544"/>
    <mergeCell ref="K533:K536"/>
    <mergeCell ref="L533:L536"/>
    <mergeCell ref="B537:B540"/>
    <mergeCell ref="C537:C540"/>
    <mergeCell ref="E537:E540"/>
    <mergeCell ref="F537:F540"/>
    <mergeCell ref="G537:G540"/>
    <mergeCell ref="H537:H540"/>
    <mergeCell ref="I537:I540"/>
    <mergeCell ref="J537:J540"/>
    <mergeCell ref="K545:K548"/>
    <mergeCell ref="L545:L548"/>
    <mergeCell ref="B549:B552"/>
    <mergeCell ref="C549:C552"/>
    <mergeCell ref="E549:E552"/>
    <mergeCell ref="F549:F552"/>
    <mergeCell ref="G549:G552"/>
    <mergeCell ref="H549:H552"/>
    <mergeCell ref="I549:I552"/>
    <mergeCell ref="J549:J552"/>
    <mergeCell ref="K541:K544"/>
    <mergeCell ref="L541:L544"/>
    <mergeCell ref="B545:B548"/>
    <mergeCell ref="C545:C548"/>
    <mergeCell ref="E545:E548"/>
    <mergeCell ref="F545:F548"/>
    <mergeCell ref="G545:G548"/>
    <mergeCell ref="H545:H548"/>
    <mergeCell ref="I545:I548"/>
    <mergeCell ref="J545:J548"/>
    <mergeCell ref="K553:K556"/>
    <mergeCell ref="L553:L556"/>
    <mergeCell ref="B557:B560"/>
    <mergeCell ref="C557:C560"/>
    <mergeCell ref="E557:E560"/>
    <mergeCell ref="F557:F560"/>
    <mergeCell ref="G557:G560"/>
    <mergeCell ref="H557:H560"/>
    <mergeCell ref="I557:I560"/>
    <mergeCell ref="J557:J560"/>
    <mergeCell ref="K549:K552"/>
    <mergeCell ref="L549:L552"/>
    <mergeCell ref="B553:B556"/>
    <mergeCell ref="C553:C556"/>
    <mergeCell ref="E553:E556"/>
    <mergeCell ref="F553:F556"/>
    <mergeCell ref="G553:G556"/>
    <mergeCell ref="H553:H556"/>
    <mergeCell ref="I553:I556"/>
    <mergeCell ref="J553:J556"/>
    <mergeCell ref="K561:K564"/>
    <mergeCell ref="L561:L564"/>
    <mergeCell ref="B565:B568"/>
    <mergeCell ref="C565:C568"/>
    <mergeCell ref="E565:E568"/>
    <mergeCell ref="F565:F568"/>
    <mergeCell ref="G565:G568"/>
    <mergeCell ref="H565:H568"/>
    <mergeCell ref="I565:I568"/>
    <mergeCell ref="J565:J568"/>
    <mergeCell ref="K557:K560"/>
    <mergeCell ref="L557:L560"/>
    <mergeCell ref="B561:B564"/>
    <mergeCell ref="C561:C564"/>
    <mergeCell ref="E561:E564"/>
    <mergeCell ref="F561:F564"/>
    <mergeCell ref="G561:G564"/>
    <mergeCell ref="H561:H564"/>
    <mergeCell ref="I561:I564"/>
    <mergeCell ref="J561:J564"/>
    <mergeCell ref="K569:K572"/>
    <mergeCell ref="L569:L572"/>
    <mergeCell ref="B573:B577"/>
    <mergeCell ref="C573:C577"/>
    <mergeCell ref="D573:D577"/>
    <mergeCell ref="E573:E577"/>
    <mergeCell ref="F573:F577"/>
    <mergeCell ref="J573:J577"/>
    <mergeCell ref="K565:K568"/>
    <mergeCell ref="L565:L568"/>
    <mergeCell ref="B569:B572"/>
    <mergeCell ref="C569:C572"/>
    <mergeCell ref="E569:E572"/>
    <mergeCell ref="F569:F572"/>
    <mergeCell ref="G569:G572"/>
    <mergeCell ref="H569:H572"/>
    <mergeCell ref="I569:I572"/>
    <mergeCell ref="J569:J572"/>
    <mergeCell ref="I582:I585"/>
    <mergeCell ref="J582:J585"/>
    <mergeCell ref="K582:K585"/>
    <mergeCell ref="L582:L585"/>
    <mergeCell ref="B586:B589"/>
    <mergeCell ref="C586:C589"/>
    <mergeCell ref="E586:E589"/>
    <mergeCell ref="F586:F589"/>
    <mergeCell ref="G586:G589"/>
    <mergeCell ref="H586:H589"/>
    <mergeCell ref="I578:I581"/>
    <mergeCell ref="J578:J581"/>
    <mergeCell ref="K578:K581"/>
    <mergeCell ref="L578:L581"/>
    <mergeCell ref="B582:B585"/>
    <mergeCell ref="C582:C585"/>
    <mergeCell ref="E582:E585"/>
    <mergeCell ref="F582:F585"/>
    <mergeCell ref="G582:G585"/>
    <mergeCell ref="H582:H585"/>
    <mergeCell ref="B578:B581"/>
    <mergeCell ref="C578:C581"/>
    <mergeCell ref="E578:E581"/>
    <mergeCell ref="F578:F581"/>
    <mergeCell ref="G578:G581"/>
    <mergeCell ref="H578:H581"/>
    <mergeCell ref="I590:I593"/>
    <mergeCell ref="J590:J593"/>
    <mergeCell ref="K590:K593"/>
    <mergeCell ref="L590:L593"/>
    <mergeCell ref="B594:B597"/>
    <mergeCell ref="C594:C597"/>
    <mergeCell ref="E594:E597"/>
    <mergeCell ref="F594:F597"/>
    <mergeCell ref="G594:G597"/>
    <mergeCell ref="H594:H597"/>
    <mergeCell ref="I586:I589"/>
    <mergeCell ref="J586:J589"/>
    <mergeCell ref="K586:K589"/>
    <mergeCell ref="L586:L589"/>
    <mergeCell ref="B590:B593"/>
    <mergeCell ref="C590:C593"/>
    <mergeCell ref="E590:E593"/>
    <mergeCell ref="F590:F593"/>
    <mergeCell ref="G590:G593"/>
    <mergeCell ref="H590:H593"/>
    <mergeCell ref="I602:I605"/>
    <mergeCell ref="J602:J605"/>
    <mergeCell ref="K602:K605"/>
    <mergeCell ref="L602:L605"/>
    <mergeCell ref="J606:J610"/>
    <mergeCell ref="N606:N610"/>
    <mergeCell ref="I598:I601"/>
    <mergeCell ref="J598:J601"/>
    <mergeCell ref="K598:K601"/>
    <mergeCell ref="L598:L601"/>
    <mergeCell ref="B602:B605"/>
    <mergeCell ref="C602:C605"/>
    <mergeCell ref="E602:E605"/>
    <mergeCell ref="F602:F605"/>
    <mergeCell ref="G602:G605"/>
    <mergeCell ref="H602:H605"/>
    <mergeCell ref="I594:I597"/>
    <mergeCell ref="J594:J597"/>
    <mergeCell ref="K594:K597"/>
    <mergeCell ref="L594:L597"/>
    <mergeCell ref="B598:B601"/>
    <mergeCell ref="C598:C601"/>
    <mergeCell ref="E598:E601"/>
    <mergeCell ref="F598:F601"/>
    <mergeCell ref="G598:G601"/>
    <mergeCell ref="H598:H601"/>
    <mergeCell ref="I615:I618"/>
    <mergeCell ref="J615:J618"/>
    <mergeCell ref="K615:K618"/>
    <mergeCell ref="L615:L618"/>
    <mergeCell ref="B619:B622"/>
    <mergeCell ref="C619:C622"/>
    <mergeCell ref="E619:E622"/>
    <mergeCell ref="F619:F622"/>
    <mergeCell ref="G619:G622"/>
    <mergeCell ref="H619:H622"/>
    <mergeCell ref="I611:I614"/>
    <mergeCell ref="J611:J614"/>
    <mergeCell ref="K611:K614"/>
    <mergeCell ref="L611:L614"/>
    <mergeCell ref="B615:B618"/>
    <mergeCell ref="C615:C618"/>
    <mergeCell ref="E615:E618"/>
    <mergeCell ref="F615:F618"/>
    <mergeCell ref="G615:G618"/>
    <mergeCell ref="H615:H618"/>
    <mergeCell ref="B611:B614"/>
    <mergeCell ref="C611:C614"/>
    <mergeCell ref="E611:E614"/>
    <mergeCell ref="F611:F614"/>
    <mergeCell ref="G611:G614"/>
    <mergeCell ref="H611:H614"/>
    <mergeCell ref="I623:I626"/>
    <mergeCell ref="J623:J626"/>
    <mergeCell ref="K623:K626"/>
    <mergeCell ref="L623:L626"/>
    <mergeCell ref="B627:B630"/>
    <mergeCell ref="C627:C630"/>
    <mergeCell ref="E627:E630"/>
    <mergeCell ref="F627:F630"/>
    <mergeCell ref="G627:G630"/>
    <mergeCell ref="H627:H630"/>
    <mergeCell ref="I619:I622"/>
    <mergeCell ref="J619:J622"/>
    <mergeCell ref="K619:K622"/>
    <mergeCell ref="L619:L622"/>
    <mergeCell ref="B623:B626"/>
    <mergeCell ref="C623:C626"/>
    <mergeCell ref="E623:E626"/>
    <mergeCell ref="F623:F626"/>
    <mergeCell ref="G623:G626"/>
    <mergeCell ref="H623:H626"/>
    <mergeCell ref="I631:I634"/>
    <mergeCell ref="J631:J634"/>
    <mergeCell ref="K631:K634"/>
    <mergeCell ref="L631:L634"/>
    <mergeCell ref="B635:B638"/>
    <mergeCell ref="C635:C638"/>
    <mergeCell ref="E635:E638"/>
    <mergeCell ref="F635:F638"/>
    <mergeCell ref="G635:G638"/>
    <mergeCell ref="H635:H638"/>
    <mergeCell ref="I627:I630"/>
    <mergeCell ref="J627:J630"/>
    <mergeCell ref="K627:K630"/>
    <mergeCell ref="L627:L630"/>
    <mergeCell ref="B631:B634"/>
    <mergeCell ref="C631:C634"/>
    <mergeCell ref="E631:E634"/>
    <mergeCell ref="F631:F634"/>
    <mergeCell ref="G631:G634"/>
    <mergeCell ref="H631:H634"/>
    <mergeCell ref="I639:I642"/>
    <mergeCell ref="J639:J642"/>
    <mergeCell ref="K639:K642"/>
    <mergeCell ref="L639:L642"/>
    <mergeCell ref="B643:B646"/>
    <mergeCell ref="C643:C646"/>
    <mergeCell ref="E643:E646"/>
    <mergeCell ref="F643:F646"/>
    <mergeCell ref="G643:G646"/>
    <mergeCell ref="H643:H646"/>
    <mergeCell ref="I635:I638"/>
    <mergeCell ref="J635:J638"/>
    <mergeCell ref="K635:K638"/>
    <mergeCell ref="L635:L638"/>
    <mergeCell ref="B639:B642"/>
    <mergeCell ref="C639:C642"/>
    <mergeCell ref="E639:E642"/>
    <mergeCell ref="F639:F642"/>
    <mergeCell ref="G639:G642"/>
    <mergeCell ref="H639:H642"/>
    <mergeCell ref="I647:I650"/>
    <mergeCell ref="J647:J650"/>
    <mergeCell ref="K647:K650"/>
    <mergeCell ref="L647:L650"/>
    <mergeCell ref="B651:B654"/>
    <mergeCell ref="C651:C654"/>
    <mergeCell ref="E651:E654"/>
    <mergeCell ref="F651:F654"/>
    <mergeCell ref="G651:G654"/>
    <mergeCell ref="H651:H654"/>
    <mergeCell ref="I643:I646"/>
    <mergeCell ref="J643:J646"/>
    <mergeCell ref="K643:K646"/>
    <mergeCell ref="L643:L646"/>
    <mergeCell ref="B647:B650"/>
    <mergeCell ref="C647:C650"/>
    <mergeCell ref="E647:E650"/>
    <mergeCell ref="F647:F650"/>
    <mergeCell ref="G647:G650"/>
    <mergeCell ref="H647:H650"/>
    <mergeCell ref="I655:I658"/>
    <mergeCell ref="J655:J658"/>
    <mergeCell ref="K655:K658"/>
    <mergeCell ref="L655:L658"/>
    <mergeCell ref="B659:B662"/>
    <mergeCell ref="C659:C662"/>
    <mergeCell ref="E659:E662"/>
    <mergeCell ref="F659:F662"/>
    <mergeCell ref="G659:G662"/>
    <mergeCell ref="H659:H662"/>
    <mergeCell ref="I651:I654"/>
    <mergeCell ref="J651:J654"/>
    <mergeCell ref="K651:K654"/>
    <mergeCell ref="L651:L654"/>
    <mergeCell ref="B655:B658"/>
    <mergeCell ref="C655:C658"/>
    <mergeCell ref="E655:E658"/>
    <mergeCell ref="F655:F658"/>
    <mergeCell ref="G655:G658"/>
    <mergeCell ref="H655:H658"/>
    <mergeCell ref="I663:I666"/>
    <mergeCell ref="J663:J666"/>
    <mergeCell ref="K663:K666"/>
    <mergeCell ref="L663:L666"/>
    <mergeCell ref="B667:B670"/>
    <mergeCell ref="C667:C670"/>
    <mergeCell ref="E667:E670"/>
    <mergeCell ref="F667:F670"/>
    <mergeCell ref="G667:G670"/>
    <mergeCell ref="H667:H670"/>
    <mergeCell ref="I659:I662"/>
    <mergeCell ref="J659:J662"/>
    <mergeCell ref="K659:K662"/>
    <mergeCell ref="L659:L662"/>
    <mergeCell ref="B663:B666"/>
    <mergeCell ref="C663:C666"/>
    <mergeCell ref="E663:E666"/>
    <mergeCell ref="F663:F666"/>
    <mergeCell ref="G663:G666"/>
    <mergeCell ref="H663:H666"/>
    <mergeCell ref="I671:I674"/>
    <mergeCell ref="J671:J674"/>
    <mergeCell ref="K671:K674"/>
    <mergeCell ref="L671:L674"/>
    <mergeCell ref="B675:B678"/>
    <mergeCell ref="C675:C678"/>
    <mergeCell ref="E675:E678"/>
    <mergeCell ref="F675:F678"/>
    <mergeCell ref="G675:G678"/>
    <mergeCell ref="H675:H678"/>
    <mergeCell ref="I667:I670"/>
    <mergeCell ref="J667:J670"/>
    <mergeCell ref="K667:K670"/>
    <mergeCell ref="L667:L670"/>
    <mergeCell ref="B671:B674"/>
    <mergeCell ref="C671:C674"/>
    <mergeCell ref="E671:E674"/>
    <mergeCell ref="F671:F674"/>
    <mergeCell ref="G671:G674"/>
    <mergeCell ref="H671:H674"/>
    <mergeCell ref="I679:I682"/>
    <mergeCell ref="J679:J682"/>
    <mergeCell ref="K679:K682"/>
    <mergeCell ref="L679:L682"/>
    <mergeCell ref="B683:B686"/>
    <mergeCell ref="C683:C686"/>
    <mergeCell ref="E683:E686"/>
    <mergeCell ref="F683:F686"/>
    <mergeCell ref="G683:G686"/>
    <mergeCell ref="H683:H686"/>
    <mergeCell ref="I675:I678"/>
    <mergeCell ref="J675:J678"/>
    <mergeCell ref="K675:K678"/>
    <mergeCell ref="L675:L678"/>
    <mergeCell ref="B679:B682"/>
    <mergeCell ref="C679:C682"/>
    <mergeCell ref="E679:E682"/>
    <mergeCell ref="F679:F682"/>
    <mergeCell ref="G679:G682"/>
    <mergeCell ref="H679:H682"/>
    <mergeCell ref="I687:I690"/>
    <mergeCell ref="J687:J690"/>
    <mergeCell ref="K687:K690"/>
    <mergeCell ref="L687:L690"/>
    <mergeCell ref="B691:B694"/>
    <mergeCell ref="C691:C694"/>
    <mergeCell ref="E691:E694"/>
    <mergeCell ref="F691:F694"/>
    <mergeCell ref="G691:G694"/>
    <mergeCell ref="H691:H694"/>
    <mergeCell ref="I683:I686"/>
    <mergeCell ref="J683:J686"/>
    <mergeCell ref="K683:K686"/>
    <mergeCell ref="L683:L686"/>
    <mergeCell ref="B687:B690"/>
    <mergeCell ref="C687:C690"/>
    <mergeCell ref="E687:E690"/>
    <mergeCell ref="F687:F690"/>
    <mergeCell ref="G687:G690"/>
    <mergeCell ref="H687:H690"/>
    <mergeCell ref="I699:I702"/>
    <mergeCell ref="J699:J702"/>
    <mergeCell ref="K699:K702"/>
    <mergeCell ref="L699:L702"/>
    <mergeCell ref="B703:B708"/>
    <mergeCell ref="C703:C708"/>
    <mergeCell ref="D703:D708"/>
    <mergeCell ref="E703:E708"/>
    <mergeCell ref="F703:F708"/>
    <mergeCell ref="J703:J708"/>
    <mergeCell ref="I691:I694"/>
    <mergeCell ref="J691:J694"/>
    <mergeCell ref="K691:K694"/>
    <mergeCell ref="L691:L694"/>
    <mergeCell ref="B699:B702"/>
    <mergeCell ref="C699:C702"/>
    <mergeCell ref="E699:E702"/>
    <mergeCell ref="F699:F702"/>
    <mergeCell ref="G699:G702"/>
    <mergeCell ref="H699:H702"/>
    <mergeCell ref="B695:B698"/>
    <mergeCell ref="C695:C698"/>
    <mergeCell ref="E695:E698"/>
    <mergeCell ref="F695:F698"/>
    <mergeCell ref="G695:G698"/>
    <mergeCell ref="H695:H698"/>
    <mergeCell ref="I695:I698"/>
    <mergeCell ref="J695:J698"/>
    <mergeCell ref="K695:K698"/>
    <mergeCell ref="L695:L698"/>
    <mergeCell ref="H709:H712"/>
    <mergeCell ref="I709:I712"/>
    <mergeCell ref="J709:J712"/>
    <mergeCell ref="K709:K712"/>
    <mergeCell ref="L709:L712"/>
    <mergeCell ref="B713:B716"/>
    <mergeCell ref="C713:C716"/>
    <mergeCell ref="E713:E716"/>
    <mergeCell ref="F713:F716"/>
    <mergeCell ref="G713:G716"/>
    <mergeCell ref="N703:N708"/>
    <mergeCell ref="M707:M708"/>
    <mergeCell ref="O707:O708"/>
    <mergeCell ref="P707:P708"/>
    <mergeCell ref="Q707:Q708"/>
    <mergeCell ref="B709:B712"/>
    <mergeCell ref="C709:C712"/>
    <mergeCell ref="E709:E712"/>
    <mergeCell ref="F709:F712"/>
    <mergeCell ref="G709:G712"/>
    <mergeCell ref="H717:H720"/>
    <mergeCell ref="I717:I720"/>
    <mergeCell ref="J717:J720"/>
    <mergeCell ref="K717:K720"/>
    <mergeCell ref="L717:L720"/>
    <mergeCell ref="B721:B724"/>
    <mergeCell ref="C721:C724"/>
    <mergeCell ref="E721:E724"/>
    <mergeCell ref="F721:F724"/>
    <mergeCell ref="G721:G724"/>
    <mergeCell ref="H713:H716"/>
    <mergeCell ref="I713:I716"/>
    <mergeCell ref="J713:J716"/>
    <mergeCell ref="K713:K716"/>
    <mergeCell ref="L713:L716"/>
    <mergeCell ref="B717:B720"/>
    <mergeCell ref="C717:C720"/>
    <mergeCell ref="E717:E720"/>
    <mergeCell ref="F717:F720"/>
    <mergeCell ref="G717:G720"/>
    <mergeCell ref="H725:H728"/>
    <mergeCell ref="I725:I728"/>
    <mergeCell ref="J725:J728"/>
    <mergeCell ref="K725:K728"/>
    <mergeCell ref="L725:L728"/>
    <mergeCell ref="B729:B732"/>
    <mergeCell ref="C729:C732"/>
    <mergeCell ref="E729:E732"/>
    <mergeCell ref="F729:F732"/>
    <mergeCell ref="G729:G732"/>
    <mergeCell ref="H721:H724"/>
    <mergeCell ref="I721:I724"/>
    <mergeCell ref="J721:J724"/>
    <mergeCell ref="K721:K724"/>
    <mergeCell ref="L721:L724"/>
    <mergeCell ref="B725:B728"/>
    <mergeCell ref="C725:C728"/>
    <mergeCell ref="E725:E728"/>
    <mergeCell ref="F725:F728"/>
    <mergeCell ref="G725:G728"/>
    <mergeCell ref="J733:J736"/>
    <mergeCell ref="K733:K736"/>
    <mergeCell ref="L733:L736"/>
    <mergeCell ref="B737:B740"/>
    <mergeCell ref="C737:C740"/>
    <mergeCell ref="E737:E740"/>
    <mergeCell ref="F737:F740"/>
    <mergeCell ref="G737:G740"/>
    <mergeCell ref="H729:H732"/>
    <mergeCell ref="I729:I732"/>
    <mergeCell ref="J729:J732"/>
    <mergeCell ref="K729:K732"/>
    <mergeCell ref="L729:L732"/>
    <mergeCell ref="B733:B736"/>
    <mergeCell ref="C733:C736"/>
    <mergeCell ref="E733:E736"/>
    <mergeCell ref="F733:F736"/>
    <mergeCell ref="G733:G736"/>
    <mergeCell ref="H108:H111"/>
    <mergeCell ref="I108:I111"/>
    <mergeCell ref="J108:J111"/>
    <mergeCell ref="K108:K111"/>
    <mergeCell ref="L108:L111"/>
    <mergeCell ref="H188:H191"/>
    <mergeCell ref="H184:H185"/>
    <mergeCell ref="I184:I185"/>
    <mergeCell ref="J184:J187"/>
    <mergeCell ref="B108:B111"/>
    <mergeCell ref="C108:C111"/>
    <mergeCell ref="D108:D109"/>
    <mergeCell ref="E108:E111"/>
    <mergeCell ref="F108:F111"/>
    <mergeCell ref="G108:G111"/>
    <mergeCell ref="I741:I744"/>
    <mergeCell ref="J741:J744"/>
    <mergeCell ref="K741:K744"/>
    <mergeCell ref="L741:L744"/>
    <mergeCell ref="H737:H740"/>
    <mergeCell ref="I737:I740"/>
    <mergeCell ref="J737:J740"/>
    <mergeCell ref="K737:K740"/>
    <mergeCell ref="L737:L740"/>
    <mergeCell ref="B741:B744"/>
    <mergeCell ref="C741:C744"/>
    <mergeCell ref="E741:E744"/>
    <mergeCell ref="F741:F744"/>
    <mergeCell ref="G741:G744"/>
    <mergeCell ref="H733:H736"/>
    <mergeCell ref="H741:H744"/>
    <mergeCell ref="I733:I736"/>
    <mergeCell ref="B248:B251"/>
    <mergeCell ref="C248:C251"/>
    <mergeCell ref="E248:E251"/>
    <mergeCell ref="F248:F251"/>
    <mergeCell ref="G248:G251"/>
    <mergeCell ref="B192:B195"/>
    <mergeCell ref="C192:C195"/>
    <mergeCell ref="E192:E195"/>
    <mergeCell ref="F192:F195"/>
    <mergeCell ref="G192:G195"/>
    <mergeCell ref="H192:H195"/>
    <mergeCell ref="H240:H243"/>
    <mergeCell ref="I240:I243"/>
    <mergeCell ref="J240:J243"/>
    <mergeCell ref="K240:K243"/>
    <mergeCell ref="L240:L243"/>
    <mergeCell ref="N240:N242"/>
    <mergeCell ref="N236:N238"/>
    <mergeCell ref="B240:B243"/>
    <mergeCell ref="C240:C243"/>
    <mergeCell ref="E240:E243"/>
    <mergeCell ref="F240:F243"/>
    <mergeCell ref="G240:G243"/>
    <mergeCell ref="B236:B239"/>
    <mergeCell ref="C236:C239"/>
    <mergeCell ref="E236:E239"/>
    <mergeCell ref="F236:F239"/>
    <mergeCell ref="G236:G239"/>
    <mergeCell ref="H236:H239"/>
    <mergeCell ref="H232:H235"/>
    <mergeCell ref="I232:I235"/>
    <mergeCell ref="J232:J235"/>
    <mergeCell ref="I505:I508"/>
    <mergeCell ref="J505:J508"/>
    <mergeCell ref="K505:K508"/>
    <mergeCell ref="L505:L508"/>
    <mergeCell ref="B505:B508"/>
    <mergeCell ref="C505:C508"/>
    <mergeCell ref="E505:E508"/>
    <mergeCell ref="F505:F508"/>
    <mergeCell ref="G505:G508"/>
    <mergeCell ref="H505:H508"/>
    <mergeCell ref="N244:N246"/>
    <mergeCell ref="B244:B247"/>
    <mergeCell ref="C244:C247"/>
    <mergeCell ref="E244:E247"/>
    <mergeCell ref="F244:F247"/>
    <mergeCell ref="G244:G247"/>
    <mergeCell ref="H244:H247"/>
    <mergeCell ref="H248:H251"/>
    <mergeCell ref="I248:I251"/>
    <mergeCell ref="J248:J251"/>
    <mergeCell ref="K248:K251"/>
    <mergeCell ref="L248:L251"/>
    <mergeCell ref="I244:I247"/>
    <mergeCell ref="J244:J247"/>
    <mergeCell ref="K244:K247"/>
    <mergeCell ref="L244:L247"/>
    <mergeCell ref="N248:N250"/>
    <mergeCell ref="K501:K504"/>
    <mergeCell ref="L501:L504"/>
    <mergeCell ref="K497:K500"/>
    <mergeCell ref="L497:L500"/>
    <mergeCell ref="B501:B50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10" orientation="landscape" r:id="rId1"/>
  <headerFooter differentFirst="1" alignWithMargins="0">
    <oddHeader>&amp;C&amp;P</oddHead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  <pageSetUpPr fitToPage="1"/>
  </sheetPr>
  <dimension ref="A1:AA104"/>
  <sheetViews>
    <sheetView tabSelected="1" showWhiteSpace="0" zoomScale="90" zoomScaleNormal="90" workbookViewId="0">
      <pane ySplit="13" topLeftCell="A14" activePane="bottomLeft" state="frozen"/>
      <selection pane="bottomLeft" activeCell="Y87" sqref="Y87"/>
    </sheetView>
  </sheetViews>
  <sheetFormatPr defaultColWidth="8.85546875" defaultRowHeight="15.75" x14ac:dyDescent="0.25"/>
  <cols>
    <col min="1" max="1" width="2.140625" style="37" customWidth="1"/>
    <col min="2" max="2" width="14.42578125" style="37" customWidth="1"/>
    <col min="3" max="4" width="11.140625" style="48" customWidth="1"/>
    <col min="5" max="5" width="13.5703125" style="48" customWidth="1"/>
    <col min="6" max="6" width="41.42578125" style="802" customWidth="1"/>
    <col min="7" max="7" width="19.42578125" style="798" customWidth="1"/>
    <col min="8" max="8" width="7.42578125" style="48" customWidth="1"/>
    <col min="9" max="9" width="11.42578125" style="48" customWidth="1"/>
    <col min="10" max="10" width="10.85546875" style="48" customWidth="1"/>
    <col min="11" max="11" width="10.42578125" style="48" customWidth="1"/>
    <col min="12" max="12" width="13.140625" style="707" customWidth="1"/>
    <col min="13" max="13" width="11.42578125" style="707" customWidth="1"/>
    <col min="14" max="14" width="13.85546875" style="707" customWidth="1"/>
    <col min="15" max="15" width="9.85546875" style="37" hidden="1" customWidth="1"/>
    <col min="16" max="16" width="20.5703125" style="37" hidden="1" customWidth="1"/>
    <col min="17" max="17" width="0" style="37" hidden="1" customWidth="1"/>
    <col min="18" max="18" width="36.28515625" style="37" hidden="1" customWidth="1"/>
    <col min="19" max="19" width="27.7109375" style="37" hidden="1" customWidth="1"/>
    <col min="20" max="20" width="18.7109375" style="37" hidden="1" customWidth="1"/>
    <col min="21" max="21" width="16.85546875" style="37" hidden="1" customWidth="1"/>
    <col min="22" max="22" width="20.85546875" style="37" hidden="1" customWidth="1"/>
    <col min="23" max="23" width="15" style="37" hidden="1" customWidth="1"/>
    <col min="24" max="24" width="12.140625" style="37" customWidth="1"/>
    <col min="25" max="25" width="12.7109375" style="37" customWidth="1"/>
    <col min="26" max="26" width="13.140625" style="37" bestFit="1" customWidth="1"/>
    <col min="27" max="27" width="8.85546875" style="37"/>
    <col min="28" max="28" width="14.28515625" style="37" bestFit="1" customWidth="1"/>
    <col min="29" max="16384" width="8.85546875" style="37"/>
  </cols>
  <sheetData>
    <row r="1" spans="2:27" x14ac:dyDescent="0.25">
      <c r="I1" s="787"/>
      <c r="L1" s="787" t="s">
        <v>1231</v>
      </c>
      <c r="M1" s="48"/>
      <c r="N1" s="48"/>
    </row>
    <row r="2" spans="2:27" x14ac:dyDescent="0.25">
      <c r="I2" s="787"/>
      <c r="L2" s="787" t="s">
        <v>1074</v>
      </c>
      <c r="M2" s="48"/>
      <c r="N2" s="48"/>
    </row>
    <row r="3" spans="2:27" x14ac:dyDescent="0.25">
      <c r="I3" s="787"/>
      <c r="L3" s="787" t="s">
        <v>499</v>
      </c>
      <c r="M3" s="48"/>
      <c r="N3" s="48"/>
    </row>
    <row r="4" spans="2:27" x14ac:dyDescent="0.25">
      <c r="I4" s="787"/>
      <c r="L4" s="787" t="s">
        <v>500</v>
      </c>
      <c r="M4" s="48"/>
      <c r="N4" s="48"/>
    </row>
    <row r="5" spans="2:27" x14ac:dyDescent="0.25">
      <c r="I5" s="787"/>
      <c r="L5" s="787" t="s">
        <v>1188</v>
      </c>
      <c r="M5" s="48"/>
      <c r="N5" s="48"/>
    </row>
    <row r="6" spans="2:27" ht="12" customHeight="1" x14ac:dyDescent="0.25">
      <c r="I6" s="787"/>
      <c r="L6" s="787" t="s">
        <v>502</v>
      </c>
      <c r="M6" s="48"/>
      <c r="N6" s="48"/>
    </row>
    <row r="7" spans="2:27" ht="6" customHeight="1" x14ac:dyDescent="0.25">
      <c r="C7" s="651"/>
      <c r="D7" s="80"/>
      <c r="E7" s="80"/>
      <c r="F7" s="92"/>
      <c r="G7" s="80"/>
      <c r="H7" s="80"/>
      <c r="I7" s="80"/>
      <c r="J7" s="80"/>
      <c r="K7" s="80"/>
      <c r="L7" s="788"/>
      <c r="M7" s="788"/>
    </row>
    <row r="8" spans="2:27" ht="18.75" customHeight="1" x14ac:dyDescent="0.25">
      <c r="B8" s="1361" t="s">
        <v>1121</v>
      </c>
      <c r="C8" s="1361"/>
      <c r="D8" s="1361"/>
      <c r="E8" s="1361"/>
      <c r="F8" s="1361"/>
      <c r="G8" s="1361"/>
      <c r="H8" s="1361"/>
      <c r="I8" s="1361"/>
      <c r="J8" s="1361"/>
      <c r="K8" s="1361"/>
      <c r="L8" s="1361"/>
      <c r="M8" s="1361"/>
      <c r="N8" s="1361"/>
    </row>
    <row r="9" spans="2:27" ht="16.5" customHeight="1" x14ac:dyDescent="0.25">
      <c r="B9" s="1073" t="s">
        <v>1190</v>
      </c>
      <c r="C9" s="1073"/>
      <c r="D9" s="1073"/>
      <c r="E9" s="1073"/>
      <c r="F9" s="1073"/>
      <c r="G9" s="1073"/>
      <c r="H9" s="1073"/>
      <c r="I9" s="1073"/>
      <c r="J9" s="1073"/>
      <c r="K9" s="1073"/>
      <c r="L9" s="1073"/>
      <c r="M9" s="1073"/>
      <c r="N9" s="1073"/>
    </row>
    <row r="10" spans="2:27" ht="9.75" customHeight="1" x14ac:dyDescent="0.25"/>
    <row r="11" spans="2:27" ht="38.25" customHeight="1" x14ac:dyDescent="0.25">
      <c r="B11" s="1364" t="s">
        <v>1118</v>
      </c>
      <c r="C11" s="1364" t="s">
        <v>1119</v>
      </c>
      <c r="D11" s="1364" t="s">
        <v>4</v>
      </c>
      <c r="E11" s="1364" t="s">
        <v>1120</v>
      </c>
      <c r="F11" s="1364" t="s">
        <v>1191</v>
      </c>
      <c r="G11" s="1364" t="s">
        <v>1193</v>
      </c>
      <c r="H11" s="1364"/>
      <c r="I11" s="1364"/>
      <c r="J11" s="1364"/>
      <c r="K11" s="1364"/>
      <c r="L11" s="1364" t="s">
        <v>1165</v>
      </c>
      <c r="M11" s="1364"/>
      <c r="N11" s="1364"/>
      <c r="O11" s="803"/>
      <c r="P11" s="803"/>
    </row>
    <row r="12" spans="2:27" ht="16.5" customHeight="1" x14ac:dyDescent="0.25">
      <c r="B12" s="1364"/>
      <c r="C12" s="1364"/>
      <c r="D12" s="1364"/>
      <c r="E12" s="1364"/>
      <c r="F12" s="1364"/>
      <c r="G12" s="1364" t="s">
        <v>18</v>
      </c>
      <c r="H12" s="1364" t="s">
        <v>148</v>
      </c>
      <c r="I12" s="1364" t="s">
        <v>1194</v>
      </c>
      <c r="J12" s="1364"/>
      <c r="K12" s="1364"/>
      <c r="L12" s="1364" t="s">
        <v>1091</v>
      </c>
      <c r="M12" s="1364" t="s">
        <v>1092</v>
      </c>
      <c r="N12" s="1364" t="s">
        <v>1117</v>
      </c>
      <c r="O12" s="803"/>
      <c r="P12" s="803"/>
    </row>
    <row r="13" spans="2:27" x14ac:dyDescent="0.25">
      <c r="B13" s="1364"/>
      <c r="C13" s="1364"/>
      <c r="D13" s="1364"/>
      <c r="E13" s="1364"/>
      <c r="F13" s="1364"/>
      <c r="G13" s="1364"/>
      <c r="H13" s="1364"/>
      <c r="I13" s="832" t="s">
        <v>1091</v>
      </c>
      <c r="J13" s="841" t="s">
        <v>1092</v>
      </c>
      <c r="K13" s="841" t="s">
        <v>1117</v>
      </c>
      <c r="L13" s="1364"/>
      <c r="M13" s="1364"/>
      <c r="N13" s="1364"/>
      <c r="O13" s="803"/>
      <c r="P13" s="803"/>
    </row>
    <row r="14" spans="2:27" x14ac:dyDescent="0.25">
      <c r="B14" s="806">
        <v>1</v>
      </c>
      <c r="C14" s="808">
        <v>2</v>
      </c>
      <c r="D14" s="808">
        <v>3</v>
      </c>
      <c r="E14" s="808">
        <v>4</v>
      </c>
      <c r="F14" s="808">
        <v>5</v>
      </c>
      <c r="G14" s="808">
        <v>6</v>
      </c>
      <c r="H14" s="808">
        <v>7</v>
      </c>
      <c r="I14" s="808">
        <v>8</v>
      </c>
      <c r="J14" s="808">
        <v>10</v>
      </c>
      <c r="K14" s="808">
        <v>11</v>
      </c>
      <c r="L14" s="808">
        <v>13</v>
      </c>
      <c r="M14" s="808">
        <v>14</v>
      </c>
      <c r="N14" s="808">
        <v>15</v>
      </c>
      <c r="O14" s="803"/>
      <c r="P14" s="803"/>
      <c r="Z14" s="309"/>
    </row>
    <row r="15" spans="2:27" ht="16.5" customHeight="1" x14ac:dyDescent="0.25">
      <c r="B15" s="865" t="s">
        <v>116</v>
      </c>
      <c r="C15" s="865" t="s">
        <v>116</v>
      </c>
      <c r="D15" s="865" t="s">
        <v>116</v>
      </c>
      <c r="E15" s="865" t="s">
        <v>116</v>
      </c>
      <c r="F15" s="866" t="s">
        <v>1163</v>
      </c>
      <c r="G15" s="865" t="s">
        <v>116</v>
      </c>
      <c r="H15" s="865" t="s">
        <v>116</v>
      </c>
      <c r="I15" s="865" t="s">
        <v>116</v>
      </c>
      <c r="J15" s="865" t="s">
        <v>116</v>
      </c>
      <c r="K15" s="865" t="s">
        <v>116</v>
      </c>
      <c r="L15" s="864">
        <f>L16+L62+L84</f>
        <v>360292.55000000005</v>
      </c>
      <c r="M15" s="864">
        <f>M16+M62+M84</f>
        <v>101368.72</v>
      </c>
      <c r="N15" s="864">
        <f>N16+N62+N84</f>
        <v>143582.87</v>
      </c>
      <c r="O15" s="803"/>
      <c r="P15" s="803">
        <v>874740.37</v>
      </c>
      <c r="U15" s="37">
        <v>905599.27</v>
      </c>
      <c r="V15" s="51">
        <v>737063.728</v>
      </c>
      <c r="W15" s="37">
        <v>836796.02099999995</v>
      </c>
      <c r="X15" s="811"/>
      <c r="Y15" s="811"/>
      <c r="Z15" s="50"/>
      <c r="AA15" s="51"/>
    </row>
    <row r="16" spans="2:27" ht="36.75" customHeight="1" x14ac:dyDescent="0.25">
      <c r="B16" s="836" t="s">
        <v>263</v>
      </c>
      <c r="C16" s="836" t="s">
        <v>63</v>
      </c>
      <c r="D16" s="836" t="s">
        <v>1158</v>
      </c>
      <c r="E16" s="837" t="s">
        <v>116</v>
      </c>
      <c r="F16" s="838" t="s">
        <v>1108</v>
      </c>
      <c r="G16" s="837" t="s">
        <v>1114</v>
      </c>
      <c r="H16" s="837" t="s">
        <v>240</v>
      </c>
      <c r="I16" s="837">
        <v>3</v>
      </c>
      <c r="J16" s="837">
        <v>3</v>
      </c>
      <c r="K16" s="837">
        <v>4</v>
      </c>
      <c r="L16" s="839">
        <f t="shared" ref="L16:W16" si="0">L45+L17+L32</f>
        <v>49150</v>
      </c>
      <c r="M16" s="839">
        <f t="shared" si="0"/>
        <v>44650</v>
      </c>
      <c r="N16" s="839">
        <f t="shared" si="0"/>
        <v>44650</v>
      </c>
      <c r="O16" s="839">
        <f t="shared" si="0"/>
        <v>0</v>
      </c>
      <c r="P16" s="839">
        <f t="shared" si="0"/>
        <v>0</v>
      </c>
      <c r="Q16" s="839">
        <f t="shared" si="0"/>
        <v>0</v>
      </c>
      <c r="R16" s="839">
        <f t="shared" si="0"/>
        <v>0</v>
      </c>
      <c r="S16" s="839">
        <f t="shared" si="0"/>
        <v>0</v>
      </c>
      <c r="T16" s="839">
        <f t="shared" si="0"/>
        <v>0</v>
      </c>
      <c r="U16" s="839">
        <f t="shared" si="0"/>
        <v>0</v>
      </c>
      <c r="V16" s="839">
        <f t="shared" si="0"/>
        <v>0</v>
      </c>
      <c r="W16" s="839">
        <f t="shared" si="0"/>
        <v>0</v>
      </c>
    </row>
    <row r="17" spans="2:16" ht="42" customHeight="1" x14ac:dyDescent="0.25">
      <c r="B17" s="853" t="s">
        <v>263</v>
      </c>
      <c r="C17" s="853" t="s">
        <v>63</v>
      </c>
      <c r="D17" s="853" t="s">
        <v>1158</v>
      </c>
      <c r="E17" s="854" t="s">
        <v>1147</v>
      </c>
      <c r="F17" s="868" t="s">
        <v>1197</v>
      </c>
      <c r="G17" s="854" t="s">
        <v>116</v>
      </c>
      <c r="H17" s="854" t="s">
        <v>116</v>
      </c>
      <c r="I17" s="853" t="s">
        <v>373</v>
      </c>
      <c r="J17" s="854" t="s">
        <v>116</v>
      </c>
      <c r="K17" s="854" t="s">
        <v>116</v>
      </c>
      <c r="L17" s="858">
        <v>49150</v>
      </c>
      <c r="M17" s="858">
        <v>0</v>
      </c>
      <c r="N17" s="858">
        <v>0</v>
      </c>
      <c r="O17" s="690"/>
      <c r="P17" s="803"/>
    </row>
    <row r="18" spans="2:16" ht="16.5" customHeight="1" x14ac:dyDescent="0.25">
      <c r="B18" s="1358"/>
      <c r="C18" s="1359"/>
      <c r="D18" s="1359"/>
      <c r="E18" s="1360"/>
      <c r="F18" s="898" t="s">
        <v>1290</v>
      </c>
      <c r="G18" s="1347"/>
      <c r="H18" s="1348"/>
      <c r="I18" s="1348"/>
      <c r="J18" s="1348"/>
      <c r="K18" s="1348"/>
      <c r="L18" s="1348"/>
      <c r="M18" s="1348"/>
      <c r="N18" s="1349"/>
      <c r="O18" s="690"/>
      <c r="P18" s="803"/>
    </row>
    <row r="19" spans="2:16" ht="24" customHeight="1" x14ac:dyDescent="0.25">
      <c r="B19" s="607" t="s">
        <v>116</v>
      </c>
      <c r="C19" s="607" t="s">
        <v>116</v>
      </c>
      <c r="D19" s="607" t="s">
        <v>116</v>
      </c>
      <c r="E19" s="605" t="s">
        <v>116</v>
      </c>
      <c r="F19" s="646" t="s">
        <v>1303</v>
      </c>
      <c r="G19" s="605" t="s">
        <v>116</v>
      </c>
      <c r="H19" s="605" t="s">
        <v>116</v>
      </c>
      <c r="I19" s="899" t="s">
        <v>1217</v>
      </c>
      <c r="J19" s="605" t="s">
        <v>116</v>
      </c>
      <c r="K19" s="605" t="s">
        <v>116</v>
      </c>
      <c r="L19" s="834" t="s">
        <v>116</v>
      </c>
      <c r="M19" s="834" t="s">
        <v>116</v>
      </c>
      <c r="N19" s="834" t="s">
        <v>116</v>
      </c>
      <c r="O19" s="690"/>
      <c r="P19" s="803"/>
    </row>
    <row r="20" spans="2:16" ht="24" customHeight="1" x14ac:dyDescent="0.25">
      <c r="B20" s="905"/>
      <c r="C20" s="905"/>
      <c r="D20" s="905"/>
      <c r="E20" s="906"/>
      <c r="F20" s="646" t="s">
        <v>1308</v>
      </c>
      <c r="G20" s="906"/>
      <c r="H20" s="906"/>
      <c r="I20" s="905" t="s">
        <v>1271</v>
      </c>
      <c r="J20" s="906"/>
      <c r="K20" s="906"/>
      <c r="L20" s="834"/>
      <c r="M20" s="834"/>
      <c r="N20" s="834"/>
      <c r="O20" s="904"/>
      <c r="P20" s="803"/>
    </row>
    <row r="21" spans="2:16" ht="23.25" customHeight="1" x14ac:dyDescent="0.25">
      <c r="B21" s="607" t="s">
        <v>116</v>
      </c>
      <c r="C21" s="607" t="s">
        <v>116</v>
      </c>
      <c r="D21" s="607" t="s">
        <v>116</v>
      </c>
      <c r="E21" s="605" t="s">
        <v>116</v>
      </c>
      <c r="F21" s="646" t="s">
        <v>1199</v>
      </c>
      <c r="G21" s="605" t="s">
        <v>116</v>
      </c>
      <c r="H21" s="605" t="s">
        <v>116</v>
      </c>
      <c r="I21" s="899" t="s">
        <v>1223</v>
      </c>
      <c r="J21" s="605" t="s">
        <v>116</v>
      </c>
      <c r="K21" s="605" t="s">
        <v>116</v>
      </c>
      <c r="L21" s="834" t="s">
        <v>116</v>
      </c>
      <c r="M21" s="834" t="s">
        <v>116</v>
      </c>
      <c r="N21" s="834" t="s">
        <v>116</v>
      </c>
      <c r="O21" s="690"/>
      <c r="P21" s="803"/>
    </row>
    <row r="22" spans="2:16" ht="24.75" customHeight="1" x14ac:dyDescent="0.25">
      <c r="B22" s="1347"/>
      <c r="C22" s="1348"/>
      <c r="D22" s="1348"/>
      <c r="E22" s="1349"/>
      <c r="F22" s="898" t="s">
        <v>1291</v>
      </c>
      <c r="G22" s="1347"/>
      <c r="H22" s="1348"/>
      <c r="I22" s="1348"/>
      <c r="J22" s="1348"/>
      <c r="K22" s="1348"/>
      <c r="L22" s="1348"/>
      <c r="M22" s="1348"/>
      <c r="N22" s="1349"/>
      <c r="O22" s="690"/>
      <c r="P22" s="803"/>
    </row>
    <row r="23" spans="2:16" ht="31.5" customHeight="1" x14ac:dyDescent="0.25">
      <c r="B23" s="607" t="s">
        <v>116</v>
      </c>
      <c r="C23" s="607" t="s">
        <v>116</v>
      </c>
      <c r="D23" s="607" t="s">
        <v>116</v>
      </c>
      <c r="E23" s="605" t="s">
        <v>116</v>
      </c>
      <c r="F23" s="646" t="s">
        <v>1198</v>
      </c>
      <c r="G23" s="605" t="s">
        <v>116</v>
      </c>
      <c r="H23" s="605" t="s">
        <v>116</v>
      </c>
      <c r="I23" s="607" t="s">
        <v>1214</v>
      </c>
      <c r="J23" s="605" t="s">
        <v>116</v>
      </c>
      <c r="K23" s="605" t="s">
        <v>116</v>
      </c>
      <c r="L23" s="834" t="s">
        <v>116</v>
      </c>
      <c r="M23" s="834" t="s">
        <v>116</v>
      </c>
      <c r="N23" s="834" t="s">
        <v>116</v>
      </c>
      <c r="O23" s="690"/>
      <c r="P23" s="803"/>
    </row>
    <row r="24" spans="2:16" ht="24" customHeight="1" x14ac:dyDescent="0.25">
      <c r="B24" s="607" t="s">
        <v>116</v>
      </c>
      <c r="C24" s="607" t="s">
        <v>116</v>
      </c>
      <c r="D24" s="607" t="s">
        <v>116</v>
      </c>
      <c r="E24" s="605" t="s">
        <v>116</v>
      </c>
      <c r="F24" s="646" t="s">
        <v>1303</v>
      </c>
      <c r="G24" s="605" t="s">
        <v>116</v>
      </c>
      <c r="H24" s="605" t="s">
        <v>116</v>
      </c>
      <c r="I24" s="607" t="s">
        <v>1215</v>
      </c>
      <c r="J24" s="605" t="s">
        <v>116</v>
      </c>
      <c r="K24" s="605" t="s">
        <v>116</v>
      </c>
      <c r="L24" s="834" t="s">
        <v>116</v>
      </c>
      <c r="M24" s="834" t="s">
        <v>116</v>
      </c>
      <c r="N24" s="834" t="s">
        <v>116</v>
      </c>
      <c r="O24" s="690"/>
      <c r="P24" s="803"/>
    </row>
    <row r="25" spans="2:16" ht="24" customHeight="1" x14ac:dyDescent="0.25">
      <c r="B25" s="905" t="s">
        <v>116</v>
      </c>
      <c r="C25" s="905" t="s">
        <v>116</v>
      </c>
      <c r="D25" s="905" t="s">
        <v>116</v>
      </c>
      <c r="E25" s="906" t="s">
        <v>116</v>
      </c>
      <c r="F25" s="646" t="s">
        <v>1308</v>
      </c>
      <c r="G25" s="906" t="s">
        <v>116</v>
      </c>
      <c r="H25" s="906" t="s">
        <v>116</v>
      </c>
      <c r="I25" s="907" t="s">
        <v>1222</v>
      </c>
      <c r="J25" s="906" t="s">
        <v>116</v>
      </c>
      <c r="K25" s="906" t="s">
        <v>116</v>
      </c>
      <c r="L25" s="834" t="s">
        <v>116</v>
      </c>
      <c r="M25" s="834" t="s">
        <v>116</v>
      </c>
      <c r="N25" s="834" t="s">
        <v>116</v>
      </c>
      <c r="O25" s="904"/>
      <c r="P25" s="803"/>
    </row>
    <row r="26" spans="2:16" ht="17.25" customHeight="1" x14ac:dyDescent="0.25">
      <c r="B26" s="607" t="s">
        <v>116</v>
      </c>
      <c r="C26" s="607" t="s">
        <v>116</v>
      </c>
      <c r="D26" s="607" t="s">
        <v>116</v>
      </c>
      <c r="E26" s="605" t="s">
        <v>116</v>
      </c>
      <c r="F26" s="646" t="s">
        <v>1199</v>
      </c>
      <c r="G26" s="605" t="s">
        <v>116</v>
      </c>
      <c r="H26" s="605" t="s">
        <v>116</v>
      </c>
      <c r="I26" s="607" t="s">
        <v>1216</v>
      </c>
      <c r="J26" s="605" t="s">
        <v>116</v>
      </c>
      <c r="K26" s="605" t="s">
        <v>116</v>
      </c>
      <c r="L26" s="834" t="s">
        <v>116</v>
      </c>
      <c r="M26" s="834" t="s">
        <v>116</v>
      </c>
      <c r="N26" s="834" t="s">
        <v>116</v>
      </c>
      <c r="O26" s="690"/>
      <c r="P26" s="803"/>
    </row>
    <row r="27" spans="2:16" ht="23.25" customHeight="1" x14ac:dyDescent="0.25">
      <c r="B27" s="1358"/>
      <c r="C27" s="1359"/>
      <c r="D27" s="1359"/>
      <c r="E27" s="1360"/>
      <c r="F27" s="898" t="s">
        <v>1285</v>
      </c>
      <c r="G27" s="1347"/>
      <c r="H27" s="1348"/>
      <c r="I27" s="1348"/>
      <c r="J27" s="1348"/>
      <c r="K27" s="1348"/>
      <c r="L27" s="1348"/>
      <c r="M27" s="1348"/>
      <c r="N27" s="1349"/>
      <c r="O27" s="690"/>
      <c r="P27" s="803"/>
    </row>
    <row r="28" spans="2:16" ht="26.25" customHeight="1" x14ac:dyDescent="0.25">
      <c r="B28" s="607" t="s">
        <v>116</v>
      </c>
      <c r="C28" s="607" t="s">
        <v>116</v>
      </c>
      <c r="D28" s="607" t="s">
        <v>116</v>
      </c>
      <c r="E28" s="605" t="s">
        <v>116</v>
      </c>
      <c r="F28" s="646" t="s">
        <v>1198</v>
      </c>
      <c r="G28" s="605" t="s">
        <v>116</v>
      </c>
      <c r="H28" s="605" t="s">
        <v>116</v>
      </c>
      <c r="I28" s="607" t="s">
        <v>1215</v>
      </c>
      <c r="J28" s="605" t="s">
        <v>116</v>
      </c>
      <c r="K28" s="605" t="s">
        <v>116</v>
      </c>
      <c r="L28" s="834" t="s">
        <v>116</v>
      </c>
      <c r="M28" s="834" t="s">
        <v>116</v>
      </c>
      <c r="N28" s="834" t="s">
        <v>116</v>
      </c>
      <c r="O28" s="690"/>
      <c r="P28" s="803"/>
    </row>
    <row r="29" spans="2:16" ht="24.75" customHeight="1" x14ac:dyDescent="0.25">
      <c r="B29" s="607" t="s">
        <v>116</v>
      </c>
      <c r="C29" s="607" t="s">
        <v>116</v>
      </c>
      <c r="D29" s="607" t="s">
        <v>116</v>
      </c>
      <c r="E29" s="605" t="s">
        <v>116</v>
      </c>
      <c r="F29" s="646" t="s">
        <v>1303</v>
      </c>
      <c r="G29" s="605" t="s">
        <v>116</v>
      </c>
      <c r="H29" s="605" t="s">
        <v>116</v>
      </c>
      <c r="I29" s="899" t="s">
        <v>1220</v>
      </c>
      <c r="J29" s="605" t="s">
        <v>116</v>
      </c>
      <c r="K29" s="605" t="s">
        <v>116</v>
      </c>
      <c r="L29" s="834" t="s">
        <v>116</v>
      </c>
      <c r="M29" s="834" t="s">
        <v>116</v>
      </c>
      <c r="N29" s="834" t="s">
        <v>116</v>
      </c>
      <c r="O29" s="690"/>
      <c r="P29" s="803"/>
    </row>
    <row r="30" spans="2:16" ht="24.75" customHeight="1" x14ac:dyDescent="0.25">
      <c r="B30" s="905" t="s">
        <v>116</v>
      </c>
      <c r="C30" s="905" t="s">
        <v>116</v>
      </c>
      <c r="D30" s="905" t="s">
        <v>116</v>
      </c>
      <c r="E30" s="906" t="s">
        <v>116</v>
      </c>
      <c r="F30" s="646" t="s">
        <v>1308</v>
      </c>
      <c r="G30" s="906" t="s">
        <v>116</v>
      </c>
      <c r="H30" s="906" t="s">
        <v>116</v>
      </c>
      <c r="I30" s="907" t="s">
        <v>1218</v>
      </c>
      <c r="J30" s="906" t="s">
        <v>116</v>
      </c>
      <c r="K30" s="906" t="s">
        <v>116</v>
      </c>
      <c r="L30" s="834" t="s">
        <v>116</v>
      </c>
      <c r="M30" s="834" t="s">
        <v>116</v>
      </c>
      <c r="N30" s="834" t="s">
        <v>116</v>
      </c>
      <c r="O30" s="904"/>
      <c r="P30" s="803"/>
    </row>
    <row r="31" spans="2:16" ht="17.25" customHeight="1" x14ac:dyDescent="0.25">
      <c r="B31" s="607" t="s">
        <v>116</v>
      </c>
      <c r="C31" s="607" t="s">
        <v>116</v>
      </c>
      <c r="D31" s="607" t="s">
        <v>116</v>
      </c>
      <c r="E31" s="605" t="s">
        <v>116</v>
      </c>
      <c r="F31" s="646" t="s">
        <v>1199</v>
      </c>
      <c r="G31" s="605" t="s">
        <v>116</v>
      </c>
      <c r="H31" s="605" t="s">
        <v>116</v>
      </c>
      <c r="I31" s="899" t="s">
        <v>1219</v>
      </c>
      <c r="J31" s="605" t="s">
        <v>116</v>
      </c>
      <c r="K31" s="605" t="s">
        <v>116</v>
      </c>
      <c r="L31" s="834" t="s">
        <v>116</v>
      </c>
      <c r="M31" s="834" t="s">
        <v>116</v>
      </c>
      <c r="N31" s="834" t="s">
        <v>116</v>
      </c>
      <c r="O31" s="690"/>
      <c r="P31" s="803"/>
    </row>
    <row r="32" spans="2:16" ht="36.75" customHeight="1" x14ac:dyDescent="0.25">
      <c r="B32" s="853" t="s">
        <v>263</v>
      </c>
      <c r="C32" s="853" t="s">
        <v>63</v>
      </c>
      <c r="D32" s="853" t="s">
        <v>1158</v>
      </c>
      <c r="E32" s="854" t="s">
        <v>1147</v>
      </c>
      <c r="F32" s="868" t="s">
        <v>1203</v>
      </c>
      <c r="G32" s="854" t="s">
        <v>116</v>
      </c>
      <c r="H32" s="854" t="s">
        <v>116</v>
      </c>
      <c r="I32" s="854">
        <v>0</v>
      </c>
      <c r="J32" s="853" t="s">
        <v>373</v>
      </c>
      <c r="K32" s="854">
        <v>0</v>
      </c>
      <c r="L32" s="858">
        <v>0</v>
      </c>
      <c r="M32" s="858">
        <v>44650</v>
      </c>
      <c r="N32" s="858">
        <v>0</v>
      </c>
      <c r="O32" s="690"/>
      <c r="P32" s="803"/>
    </row>
    <row r="33" spans="2:16" ht="23.25" customHeight="1" x14ac:dyDescent="0.25">
      <c r="B33" s="1358"/>
      <c r="C33" s="1359"/>
      <c r="D33" s="1359"/>
      <c r="E33" s="1360"/>
      <c r="F33" s="868" t="s">
        <v>1200</v>
      </c>
      <c r="G33" s="1347"/>
      <c r="H33" s="1348"/>
      <c r="I33" s="1348"/>
      <c r="J33" s="1348"/>
      <c r="K33" s="1348"/>
      <c r="L33" s="1348"/>
      <c r="M33" s="1348"/>
      <c r="N33" s="1349"/>
      <c r="O33" s="690"/>
      <c r="P33" s="803"/>
    </row>
    <row r="34" spans="2:16" ht="24.75" customHeight="1" x14ac:dyDescent="0.25">
      <c r="B34" s="607" t="s">
        <v>116</v>
      </c>
      <c r="C34" s="607" t="s">
        <v>116</v>
      </c>
      <c r="D34" s="607" t="s">
        <v>116</v>
      </c>
      <c r="E34" s="605" t="s">
        <v>116</v>
      </c>
      <c r="F34" s="646" t="s">
        <v>1303</v>
      </c>
      <c r="G34" s="902" t="s">
        <v>116</v>
      </c>
      <c r="H34" s="902" t="s">
        <v>116</v>
      </c>
      <c r="I34" s="902" t="s">
        <v>116</v>
      </c>
      <c r="J34" s="899" t="s">
        <v>1271</v>
      </c>
      <c r="K34" s="902" t="s">
        <v>116</v>
      </c>
      <c r="L34" s="834" t="s">
        <v>116</v>
      </c>
      <c r="M34" s="834" t="s">
        <v>116</v>
      </c>
      <c r="N34" s="834" t="s">
        <v>116</v>
      </c>
      <c r="O34" s="690"/>
      <c r="P34" s="803"/>
    </row>
    <row r="35" spans="2:16" ht="24.75" customHeight="1" x14ac:dyDescent="0.25">
      <c r="B35" s="905" t="s">
        <v>116</v>
      </c>
      <c r="C35" s="905" t="s">
        <v>116</v>
      </c>
      <c r="D35" s="905" t="s">
        <v>116</v>
      </c>
      <c r="E35" s="906" t="s">
        <v>116</v>
      </c>
      <c r="F35" s="646" t="s">
        <v>1308</v>
      </c>
      <c r="G35" s="906" t="s">
        <v>116</v>
      </c>
      <c r="H35" s="906" t="s">
        <v>116</v>
      </c>
      <c r="I35" s="906" t="s">
        <v>116</v>
      </c>
      <c r="J35" s="907" t="s">
        <v>1309</v>
      </c>
      <c r="K35" s="906" t="s">
        <v>116</v>
      </c>
      <c r="L35" s="834" t="s">
        <v>116</v>
      </c>
      <c r="M35" s="834" t="s">
        <v>116</v>
      </c>
      <c r="N35" s="834" t="s">
        <v>116</v>
      </c>
      <c r="O35" s="904"/>
      <c r="P35" s="803"/>
    </row>
    <row r="36" spans="2:16" ht="15.75" customHeight="1" x14ac:dyDescent="0.25">
      <c r="B36" s="607" t="s">
        <v>116</v>
      </c>
      <c r="C36" s="607" t="s">
        <v>116</v>
      </c>
      <c r="D36" s="607" t="s">
        <v>116</v>
      </c>
      <c r="E36" s="605" t="s">
        <v>116</v>
      </c>
      <c r="F36" s="646" t="s">
        <v>1199</v>
      </c>
      <c r="G36" s="902" t="s">
        <v>116</v>
      </c>
      <c r="H36" s="902" t="s">
        <v>116</v>
      </c>
      <c r="I36" s="902" t="s">
        <v>116</v>
      </c>
      <c r="J36" s="899" t="s">
        <v>1219</v>
      </c>
      <c r="K36" s="902" t="s">
        <v>116</v>
      </c>
      <c r="L36" s="834" t="s">
        <v>116</v>
      </c>
      <c r="M36" s="834" t="s">
        <v>116</v>
      </c>
      <c r="N36" s="834" t="s">
        <v>116</v>
      </c>
      <c r="O36" s="690"/>
      <c r="P36" s="803"/>
    </row>
    <row r="37" spans="2:16" ht="24.75" customHeight="1" x14ac:dyDescent="0.25">
      <c r="B37" s="1358"/>
      <c r="C37" s="1359"/>
      <c r="D37" s="1359"/>
      <c r="E37" s="1360"/>
      <c r="F37" s="868" t="s">
        <v>1201</v>
      </c>
      <c r="G37" s="1347"/>
      <c r="H37" s="1348"/>
      <c r="I37" s="1348"/>
      <c r="J37" s="1348"/>
      <c r="K37" s="1348"/>
      <c r="L37" s="1348"/>
      <c r="M37" s="1348"/>
      <c r="N37" s="1349"/>
      <c r="O37" s="690"/>
      <c r="P37" s="803"/>
    </row>
    <row r="38" spans="2:16" ht="27" customHeight="1" x14ac:dyDescent="0.25">
      <c r="B38" s="607" t="s">
        <v>116</v>
      </c>
      <c r="C38" s="607" t="s">
        <v>116</v>
      </c>
      <c r="D38" s="607" t="s">
        <v>116</v>
      </c>
      <c r="E38" s="605" t="s">
        <v>116</v>
      </c>
      <c r="F38" s="646" t="s">
        <v>1303</v>
      </c>
      <c r="G38" s="902" t="s">
        <v>116</v>
      </c>
      <c r="H38" s="902" t="s">
        <v>116</v>
      </c>
      <c r="I38" s="902" t="s">
        <v>116</v>
      </c>
      <c r="J38" s="899" t="s">
        <v>1271</v>
      </c>
      <c r="K38" s="902" t="s">
        <v>116</v>
      </c>
      <c r="L38" s="834" t="s">
        <v>116</v>
      </c>
      <c r="M38" s="834" t="s">
        <v>116</v>
      </c>
      <c r="N38" s="834" t="s">
        <v>116</v>
      </c>
      <c r="O38" s="690"/>
      <c r="P38" s="803"/>
    </row>
    <row r="39" spans="2:16" ht="27" customHeight="1" x14ac:dyDescent="0.25">
      <c r="B39" s="905" t="s">
        <v>116</v>
      </c>
      <c r="C39" s="905" t="s">
        <v>116</v>
      </c>
      <c r="D39" s="905" t="s">
        <v>116</v>
      </c>
      <c r="E39" s="906" t="s">
        <v>116</v>
      </c>
      <c r="F39" s="646" t="s">
        <v>1308</v>
      </c>
      <c r="G39" s="906" t="s">
        <v>116</v>
      </c>
      <c r="H39" s="906" t="s">
        <v>116</v>
      </c>
      <c r="I39" s="906" t="s">
        <v>116</v>
      </c>
      <c r="J39" s="907" t="s">
        <v>1309</v>
      </c>
      <c r="K39" s="906" t="s">
        <v>116</v>
      </c>
      <c r="L39" s="834" t="s">
        <v>116</v>
      </c>
      <c r="M39" s="834" t="s">
        <v>116</v>
      </c>
      <c r="N39" s="834" t="s">
        <v>116</v>
      </c>
      <c r="O39" s="904"/>
      <c r="P39" s="803"/>
    </row>
    <row r="40" spans="2:16" ht="15.75" customHeight="1" x14ac:dyDescent="0.25">
      <c r="B40" s="607" t="s">
        <v>116</v>
      </c>
      <c r="C40" s="607" t="s">
        <v>116</v>
      </c>
      <c r="D40" s="607" t="s">
        <v>116</v>
      </c>
      <c r="E40" s="605" t="s">
        <v>116</v>
      </c>
      <c r="F40" s="646" t="s">
        <v>1199</v>
      </c>
      <c r="G40" s="902" t="s">
        <v>116</v>
      </c>
      <c r="H40" s="902" t="s">
        <v>116</v>
      </c>
      <c r="I40" s="902" t="s">
        <v>116</v>
      </c>
      <c r="J40" s="899" t="s">
        <v>1219</v>
      </c>
      <c r="K40" s="902" t="s">
        <v>116</v>
      </c>
      <c r="L40" s="834" t="s">
        <v>116</v>
      </c>
      <c r="M40" s="834" t="s">
        <v>116</v>
      </c>
      <c r="N40" s="834" t="s">
        <v>116</v>
      </c>
      <c r="O40" s="690"/>
      <c r="P40" s="803"/>
    </row>
    <row r="41" spans="2:16" ht="25.5" customHeight="1" x14ac:dyDescent="0.25">
      <c r="B41" s="1358"/>
      <c r="C41" s="1359"/>
      <c r="D41" s="1359"/>
      <c r="E41" s="1360"/>
      <c r="F41" s="868" t="s">
        <v>1202</v>
      </c>
      <c r="G41" s="1347"/>
      <c r="H41" s="1348"/>
      <c r="I41" s="1348"/>
      <c r="J41" s="1348"/>
      <c r="K41" s="1348"/>
      <c r="L41" s="1348"/>
      <c r="M41" s="1348"/>
      <c r="N41" s="1349"/>
      <c r="O41" s="690"/>
      <c r="P41" s="803"/>
    </row>
    <row r="42" spans="2:16" ht="24" customHeight="1" x14ac:dyDescent="0.25">
      <c r="B42" s="607" t="s">
        <v>116</v>
      </c>
      <c r="C42" s="607" t="s">
        <v>116</v>
      </c>
      <c r="D42" s="607" t="s">
        <v>116</v>
      </c>
      <c r="E42" s="607" t="s">
        <v>116</v>
      </c>
      <c r="F42" s="646" t="s">
        <v>1303</v>
      </c>
      <c r="G42" s="902" t="s">
        <v>116</v>
      </c>
      <c r="H42" s="902" t="s">
        <v>116</v>
      </c>
      <c r="I42" s="902" t="s">
        <v>116</v>
      </c>
      <c r="J42" s="899" t="s">
        <v>1271</v>
      </c>
      <c r="K42" s="902" t="s">
        <v>116</v>
      </c>
      <c r="L42" s="834" t="s">
        <v>116</v>
      </c>
      <c r="M42" s="834" t="s">
        <v>116</v>
      </c>
      <c r="N42" s="834" t="s">
        <v>116</v>
      </c>
      <c r="O42" s="690"/>
      <c r="P42" s="803"/>
    </row>
    <row r="43" spans="2:16" ht="24" customHeight="1" x14ac:dyDescent="0.25">
      <c r="B43" s="905" t="s">
        <v>116</v>
      </c>
      <c r="C43" s="905" t="s">
        <v>116</v>
      </c>
      <c r="D43" s="905" t="s">
        <v>116</v>
      </c>
      <c r="E43" s="906" t="s">
        <v>116</v>
      </c>
      <c r="F43" s="646" t="s">
        <v>1308</v>
      </c>
      <c r="G43" s="906" t="s">
        <v>116</v>
      </c>
      <c r="H43" s="906" t="s">
        <v>116</v>
      </c>
      <c r="I43" s="906" t="s">
        <v>116</v>
      </c>
      <c r="J43" s="907" t="s">
        <v>1309</v>
      </c>
      <c r="K43" s="906" t="s">
        <v>116</v>
      </c>
      <c r="L43" s="834" t="s">
        <v>116</v>
      </c>
      <c r="M43" s="834" t="s">
        <v>116</v>
      </c>
      <c r="N43" s="834" t="s">
        <v>116</v>
      </c>
      <c r="O43" s="904"/>
      <c r="P43" s="803"/>
    </row>
    <row r="44" spans="2:16" ht="19.5" customHeight="1" x14ac:dyDescent="0.25">
      <c r="B44" s="607" t="s">
        <v>116</v>
      </c>
      <c r="C44" s="607" t="s">
        <v>116</v>
      </c>
      <c r="D44" s="607" t="s">
        <v>116</v>
      </c>
      <c r="E44" s="605" t="s">
        <v>116</v>
      </c>
      <c r="F44" s="646" t="s">
        <v>1199</v>
      </c>
      <c r="G44" s="902" t="s">
        <v>116</v>
      </c>
      <c r="H44" s="902" t="s">
        <v>116</v>
      </c>
      <c r="I44" s="902" t="s">
        <v>116</v>
      </c>
      <c r="J44" s="899" t="s">
        <v>1219</v>
      </c>
      <c r="K44" s="902" t="s">
        <v>116</v>
      </c>
      <c r="L44" s="834" t="s">
        <v>116</v>
      </c>
      <c r="M44" s="834" t="s">
        <v>116</v>
      </c>
      <c r="N44" s="834" t="s">
        <v>116</v>
      </c>
      <c r="O44" s="690"/>
      <c r="P44" s="803"/>
    </row>
    <row r="45" spans="2:16" ht="42" customHeight="1" x14ac:dyDescent="0.25">
      <c r="B45" s="853" t="s">
        <v>263</v>
      </c>
      <c r="C45" s="853" t="s">
        <v>63</v>
      </c>
      <c r="D45" s="853" t="s">
        <v>1158</v>
      </c>
      <c r="E45" s="854" t="s">
        <v>1147</v>
      </c>
      <c r="F45" s="868" t="s">
        <v>1192</v>
      </c>
      <c r="G45" s="854" t="s">
        <v>116</v>
      </c>
      <c r="H45" s="854" t="s">
        <v>116</v>
      </c>
      <c r="I45" s="854">
        <v>0</v>
      </c>
      <c r="J45" s="854">
        <v>0</v>
      </c>
      <c r="K45" s="853" t="s">
        <v>545</v>
      </c>
      <c r="L45" s="858">
        <v>0</v>
      </c>
      <c r="M45" s="858">
        <v>0</v>
      </c>
      <c r="N45" s="858">
        <v>44650</v>
      </c>
      <c r="O45" s="690"/>
      <c r="P45" s="803"/>
    </row>
    <row r="46" spans="2:16" ht="24" customHeight="1" x14ac:dyDescent="0.25">
      <c r="B46" s="1344"/>
      <c r="C46" s="1345"/>
      <c r="D46" s="1345"/>
      <c r="E46" s="1346"/>
      <c r="F46" s="868" t="s">
        <v>1204</v>
      </c>
      <c r="G46" s="1347"/>
      <c r="H46" s="1348"/>
      <c r="I46" s="1348"/>
      <c r="J46" s="1348"/>
      <c r="K46" s="1348"/>
      <c r="L46" s="1348"/>
      <c r="M46" s="1348"/>
      <c r="N46" s="1349"/>
      <c r="O46" s="690"/>
      <c r="P46" s="803"/>
    </row>
    <row r="47" spans="2:16" ht="25.5" customHeight="1" x14ac:dyDescent="0.25">
      <c r="B47" s="823" t="s">
        <v>116</v>
      </c>
      <c r="C47" s="607" t="s">
        <v>116</v>
      </c>
      <c r="D47" s="607" t="s">
        <v>116</v>
      </c>
      <c r="E47" s="605" t="s">
        <v>116</v>
      </c>
      <c r="F47" s="646" t="s">
        <v>1303</v>
      </c>
      <c r="G47" s="902" t="s">
        <v>116</v>
      </c>
      <c r="H47" s="902" t="s">
        <v>116</v>
      </c>
      <c r="I47" s="902" t="s">
        <v>116</v>
      </c>
      <c r="J47" s="899" t="s">
        <v>116</v>
      </c>
      <c r="K47" s="899" t="s">
        <v>1271</v>
      </c>
      <c r="L47" s="834" t="s">
        <v>116</v>
      </c>
      <c r="M47" s="834" t="s">
        <v>116</v>
      </c>
      <c r="N47" s="834" t="s">
        <v>116</v>
      </c>
      <c r="O47" s="690"/>
      <c r="P47" s="803"/>
    </row>
    <row r="48" spans="2:16" ht="25.5" customHeight="1" x14ac:dyDescent="0.25">
      <c r="B48" s="905" t="s">
        <v>116</v>
      </c>
      <c r="C48" s="905" t="s">
        <v>116</v>
      </c>
      <c r="D48" s="905" t="s">
        <v>116</v>
      </c>
      <c r="E48" s="906" t="s">
        <v>116</v>
      </c>
      <c r="F48" s="646" t="s">
        <v>1308</v>
      </c>
      <c r="G48" s="906" t="s">
        <v>116</v>
      </c>
      <c r="H48" s="906" t="s">
        <v>116</v>
      </c>
      <c r="I48" s="906" t="s">
        <v>116</v>
      </c>
      <c r="J48" s="905" t="s">
        <v>116</v>
      </c>
      <c r="K48" s="908" t="s">
        <v>1309</v>
      </c>
      <c r="L48" s="834" t="s">
        <v>116</v>
      </c>
      <c r="M48" s="834" t="s">
        <v>116</v>
      </c>
      <c r="N48" s="834" t="s">
        <v>116</v>
      </c>
      <c r="O48" s="904"/>
      <c r="P48" s="803"/>
    </row>
    <row r="49" spans="2:16" ht="20.25" customHeight="1" x14ac:dyDescent="0.25">
      <c r="B49" s="823" t="s">
        <v>116</v>
      </c>
      <c r="C49" s="607" t="s">
        <v>116</v>
      </c>
      <c r="D49" s="607" t="s">
        <v>116</v>
      </c>
      <c r="E49" s="605" t="s">
        <v>116</v>
      </c>
      <c r="F49" s="646" t="s">
        <v>1199</v>
      </c>
      <c r="G49" s="902" t="s">
        <v>116</v>
      </c>
      <c r="H49" s="902" t="s">
        <v>116</v>
      </c>
      <c r="I49" s="902" t="s">
        <v>116</v>
      </c>
      <c r="J49" s="899" t="s">
        <v>116</v>
      </c>
      <c r="K49" s="899" t="s">
        <v>1219</v>
      </c>
      <c r="L49" s="834" t="s">
        <v>116</v>
      </c>
      <c r="M49" s="834" t="s">
        <v>116</v>
      </c>
      <c r="N49" s="834" t="s">
        <v>116</v>
      </c>
      <c r="O49" s="690"/>
      <c r="P49" s="803"/>
    </row>
    <row r="50" spans="2:16" ht="24.75" customHeight="1" x14ac:dyDescent="0.25">
      <c r="B50" s="1344"/>
      <c r="C50" s="1345"/>
      <c r="D50" s="1345"/>
      <c r="E50" s="1346"/>
      <c r="F50" s="868" t="s">
        <v>1205</v>
      </c>
      <c r="G50" s="1347"/>
      <c r="H50" s="1348"/>
      <c r="I50" s="1348"/>
      <c r="J50" s="1348"/>
      <c r="K50" s="1348"/>
      <c r="L50" s="1348"/>
      <c r="M50" s="1348"/>
      <c r="N50" s="1349"/>
      <c r="O50" s="690"/>
      <c r="P50" s="803"/>
    </row>
    <row r="51" spans="2:16" ht="24.75" customHeight="1" x14ac:dyDescent="0.25">
      <c r="B51" s="823" t="s">
        <v>116</v>
      </c>
      <c r="C51" s="607" t="s">
        <v>116</v>
      </c>
      <c r="D51" s="607" t="s">
        <v>116</v>
      </c>
      <c r="E51" s="605" t="s">
        <v>116</v>
      </c>
      <c r="F51" s="646" t="s">
        <v>1303</v>
      </c>
      <c r="G51" s="902" t="s">
        <v>116</v>
      </c>
      <c r="H51" s="902" t="s">
        <v>116</v>
      </c>
      <c r="I51" s="902" t="s">
        <v>116</v>
      </c>
      <c r="J51" s="899" t="s">
        <v>116</v>
      </c>
      <c r="K51" s="899" t="s">
        <v>1271</v>
      </c>
      <c r="L51" s="834" t="s">
        <v>116</v>
      </c>
      <c r="M51" s="834" t="s">
        <v>116</v>
      </c>
      <c r="N51" s="834" t="s">
        <v>116</v>
      </c>
      <c r="O51" s="690"/>
      <c r="P51" s="803"/>
    </row>
    <row r="52" spans="2:16" ht="24.75" customHeight="1" x14ac:dyDescent="0.25">
      <c r="B52" s="905" t="s">
        <v>116</v>
      </c>
      <c r="C52" s="905" t="s">
        <v>116</v>
      </c>
      <c r="D52" s="905" t="s">
        <v>116</v>
      </c>
      <c r="E52" s="906" t="s">
        <v>116</v>
      </c>
      <c r="F52" s="646" t="s">
        <v>1308</v>
      </c>
      <c r="G52" s="906" t="s">
        <v>116</v>
      </c>
      <c r="H52" s="906" t="s">
        <v>116</v>
      </c>
      <c r="I52" s="906" t="s">
        <v>116</v>
      </c>
      <c r="J52" s="905" t="s">
        <v>116</v>
      </c>
      <c r="K52" s="908" t="s">
        <v>1309</v>
      </c>
      <c r="L52" s="834" t="s">
        <v>116</v>
      </c>
      <c r="M52" s="834" t="s">
        <v>116</v>
      </c>
      <c r="N52" s="834" t="s">
        <v>116</v>
      </c>
      <c r="O52" s="904"/>
      <c r="P52" s="803"/>
    </row>
    <row r="53" spans="2:16" ht="13.5" customHeight="1" x14ac:dyDescent="0.25">
      <c r="B53" s="823" t="s">
        <v>116</v>
      </c>
      <c r="C53" s="607" t="s">
        <v>116</v>
      </c>
      <c r="D53" s="607" t="s">
        <v>116</v>
      </c>
      <c r="E53" s="605" t="s">
        <v>116</v>
      </c>
      <c r="F53" s="646" t="s">
        <v>1199</v>
      </c>
      <c r="G53" s="902" t="s">
        <v>116</v>
      </c>
      <c r="H53" s="902" t="s">
        <v>116</v>
      </c>
      <c r="I53" s="902" t="s">
        <v>116</v>
      </c>
      <c r="J53" s="899" t="s">
        <v>116</v>
      </c>
      <c r="K53" s="899" t="s">
        <v>1219</v>
      </c>
      <c r="L53" s="834" t="s">
        <v>116</v>
      </c>
      <c r="M53" s="834" t="s">
        <v>116</v>
      </c>
      <c r="N53" s="834" t="s">
        <v>116</v>
      </c>
      <c r="O53" s="690"/>
      <c r="P53" s="803"/>
    </row>
    <row r="54" spans="2:16" ht="24.75" customHeight="1" x14ac:dyDescent="0.25">
      <c r="B54" s="1344"/>
      <c r="C54" s="1345"/>
      <c r="D54" s="1345"/>
      <c r="E54" s="1346"/>
      <c r="F54" s="868" t="s">
        <v>1206</v>
      </c>
      <c r="G54" s="1347"/>
      <c r="H54" s="1348"/>
      <c r="I54" s="1348"/>
      <c r="J54" s="1348"/>
      <c r="K54" s="1348"/>
      <c r="L54" s="1348"/>
      <c r="M54" s="1348"/>
      <c r="N54" s="1349"/>
      <c r="O54" s="690"/>
      <c r="P54" s="803"/>
    </row>
    <row r="55" spans="2:16" ht="26.25" customHeight="1" x14ac:dyDescent="0.25">
      <c r="B55" s="823" t="s">
        <v>116</v>
      </c>
      <c r="C55" s="607" t="s">
        <v>116</v>
      </c>
      <c r="D55" s="607" t="s">
        <v>116</v>
      </c>
      <c r="E55" s="605" t="s">
        <v>116</v>
      </c>
      <c r="F55" s="646" t="s">
        <v>1303</v>
      </c>
      <c r="G55" s="902" t="s">
        <v>116</v>
      </c>
      <c r="H55" s="902" t="s">
        <v>116</v>
      </c>
      <c r="I55" s="902" t="s">
        <v>116</v>
      </c>
      <c r="J55" s="899" t="s">
        <v>116</v>
      </c>
      <c r="K55" s="899" t="s">
        <v>1217</v>
      </c>
      <c r="L55" s="834" t="s">
        <v>116</v>
      </c>
      <c r="M55" s="834" t="s">
        <v>116</v>
      </c>
      <c r="N55" s="834" t="s">
        <v>116</v>
      </c>
      <c r="O55" s="690"/>
      <c r="P55" s="803"/>
    </row>
    <row r="56" spans="2:16" ht="26.25" customHeight="1" x14ac:dyDescent="0.25">
      <c r="B56" s="905" t="s">
        <v>116</v>
      </c>
      <c r="C56" s="905" t="s">
        <v>116</v>
      </c>
      <c r="D56" s="905" t="s">
        <v>116</v>
      </c>
      <c r="E56" s="906" t="s">
        <v>116</v>
      </c>
      <c r="F56" s="646" t="s">
        <v>1308</v>
      </c>
      <c r="G56" s="906" t="s">
        <v>116</v>
      </c>
      <c r="H56" s="906" t="s">
        <v>116</v>
      </c>
      <c r="I56" s="906" t="s">
        <v>116</v>
      </c>
      <c r="J56" s="905" t="s">
        <v>116</v>
      </c>
      <c r="K56" s="908" t="s">
        <v>1271</v>
      </c>
      <c r="L56" s="834" t="s">
        <v>116</v>
      </c>
      <c r="M56" s="834" t="s">
        <v>116</v>
      </c>
      <c r="N56" s="834" t="s">
        <v>116</v>
      </c>
      <c r="O56" s="904"/>
      <c r="P56" s="803"/>
    </row>
    <row r="57" spans="2:16" ht="18" customHeight="1" x14ac:dyDescent="0.25">
      <c r="B57" s="823" t="s">
        <v>116</v>
      </c>
      <c r="C57" s="607" t="s">
        <v>116</v>
      </c>
      <c r="D57" s="607" t="s">
        <v>116</v>
      </c>
      <c r="E57" s="605" t="s">
        <v>116</v>
      </c>
      <c r="F57" s="646" t="s">
        <v>1199</v>
      </c>
      <c r="G57" s="902" t="s">
        <v>116</v>
      </c>
      <c r="H57" s="902" t="s">
        <v>116</v>
      </c>
      <c r="I57" s="902" t="s">
        <v>116</v>
      </c>
      <c r="J57" s="899" t="s">
        <v>116</v>
      </c>
      <c r="K57" s="899" t="s">
        <v>1219</v>
      </c>
      <c r="L57" s="834" t="s">
        <v>116</v>
      </c>
      <c r="M57" s="834" t="s">
        <v>116</v>
      </c>
      <c r="N57" s="834" t="s">
        <v>116</v>
      </c>
      <c r="O57" s="690"/>
      <c r="P57" s="803"/>
    </row>
    <row r="58" spans="2:16" ht="24.75" customHeight="1" x14ac:dyDescent="0.25">
      <c r="B58" s="1344"/>
      <c r="C58" s="1345"/>
      <c r="D58" s="1345"/>
      <c r="E58" s="1346"/>
      <c r="F58" s="868" t="s">
        <v>1286</v>
      </c>
      <c r="G58" s="1347"/>
      <c r="H58" s="1348"/>
      <c r="I58" s="1348"/>
      <c r="J58" s="1348"/>
      <c r="K58" s="1348"/>
      <c r="L58" s="1348"/>
      <c r="M58" s="1348"/>
      <c r="N58" s="1349"/>
      <c r="O58" s="690"/>
      <c r="P58" s="803"/>
    </row>
    <row r="59" spans="2:16" ht="24" customHeight="1" x14ac:dyDescent="0.25">
      <c r="B59" s="823" t="s">
        <v>116</v>
      </c>
      <c r="C59" s="607" t="s">
        <v>116</v>
      </c>
      <c r="D59" s="607" t="s">
        <v>116</v>
      </c>
      <c r="E59" s="605" t="s">
        <v>116</v>
      </c>
      <c r="F59" s="646" t="s">
        <v>1303</v>
      </c>
      <c r="G59" s="902" t="s">
        <v>116</v>
      </c>
      <c r="H59" s="902" t="s">
        <v>116</v>
      </c>
      <c r="I59" s="902" t="s">
        <v>116</v>
      </c>
      <c r="J59" s="899" t="s">
        <v>116</v>
      </c>
      <c r="K59" s="899" t="s">
        <v>1214</v>
      </c>
      <c r="L59" s="834" t="s">
        <v>116</v>
      </c>
      <c r="M59" s="834" t="s">
        <v>116</v>
      </c>
      <c r="N59" s="834" t="s">
        <v>116</v>
      </c>
      <c r="O59" s="690"/>
      <c r="P59" s="803"/>
    </row>
    <row r="60" spans="2:16" ht="24" customHeight="1" x14ac:dyDescent="0.25">
      <c r="B60" s="905" t="s">
        <v>116</v>
      </c>
      <c r="C60" s="905" t="s">
        <v>116</v>
      </c>
      <c r="D60" s="905" t="s">
        <v>116</v>
      </c>
      <c r="E60" s="906" t="s">
        <v>116</v>
      </c>
      <c r="F60" s="646" t="s">
        <v>1308</v>
      </c>
      <c r="G60" s="906" t="s">
        <v>116</v>
      </c>
      <c r="H60" s="906" t="s">
        <v>116</v>
      </c>
      <c r="I60" s="906" t="s">
        <v>116</v>
      </c>
      <c r="J60" s="905" t="s">
        <v>116</v>
      </c>
      <c r="K60" s="908" t="s">
        <v>1271</v>
      </c>
      <c r="L60" s="834" t="s">
        <v>116</v>
      </c>
      <c r="M60" s="834" t="s">
        <v>116</v>
      </c>
      <c r="N60" s="834" t="s">
        <v>116</v>
      </c>
      <c r="O60" s="904"/>
      <c r="P60" s="803"/>
    </row>
    <row r="61" spans="2:16" ht="19.5" customHeight="1" x14ac:dyDescent="0.25">
      <c r="B61" s="823" t="s">
        <v>116</v>
      </c>
      <c r="C61" s="607" t="s">
        <v>116</v>
      </c>
      <c r="D61" s="607" t="s">
        <v>116</v>
      </c>
      <c r="E61" s="605" t="s">
        <v>116</v>
      </c>
      <c r="F61" s="646" t="s">
        <v>1199</v>
      </c>
      <c r="G61" s="902" t="s">
        <v>116</v>
      </c>
      <c r="H61" s="902" t="s">
        <v>116</v>
      </c>
      <c r="I61" s="902" t="s">
        <v>116</v>
      </c>
      <c r="J61" s="899" t="s">
        <v>116</v>
      </c>
      <c r="K61" s="899" t="s">
        <v>1219</v>
      </c>
      <c r="L61" s="834" t="s">
        <v>116</v>
      </c>
      <c r="M61" s="834" t="s">
        <v>116</v>
      </c>
      <c r="N61" s="834" t="s">
        <v>116</v>
      </c>
      <c r="O61" s="690"/>
      <c r="P61" s="803"/>
    </row>
    <row r="62" spans="2:16" ht="19.5" customHeight="1" x14ac:dyDescent="0.25">
      <c r="B62" s="836" t="s">
        <v>263</v>
      </c>
      <c r="C62" s="836" t="s">
        <v>63</v>
      </c>
      <c r="D62" s="836" t="s">
        <v>1213</v>
      </c>
      <c r="E62" s="837" t="s">
        <v>192</v>
      </c>
      <c r="F62" s="838" t="s">
        <v>1122</v>
      </c>
      <c r="G62" s="837" t="s">
        <v>465</v>
      </c>
      <c r="H62" s="837" t="s">
        <v>240</v>
      </c>
      <c r="I62" s="837">
        <f>I68+I73+I78+I63</f>
        <v>0</v>
      </c>
      <c r="J62" s="837" t="s">
        <v>1274</v>
      </c>
      <c r="K62" s="837">
        <v>1</v>
      </c>
      <c r="L62" s="839">
        <f>L68+L73+L78+L63</f>
        <v>23965.26</v>
      </c>
      <c r="M62" s="839">
        <f>M68+M73+M78+M63</f>
        <v>56718.720000000001</v>
      </c>
      <c r="N62" s="839">
        <f>N68+N73+N78+N63</f>
        <v>98932.87000000001</v>
      </c>
      <c r="O62" s="690"/>
      <c r="P62" s="803"/>
    </row>
    <row r="63" spans="2:16" ht="43.5" customHeight="1" x14ac:dyDescent="0.25">
      <c r="B63" s="853" t="s">
        <v>263</v>
      </c>
      <c r="C63" s="853" t="s">
        <v>63</v>
      </c>
      <c r="D63" s="853" t="s">
        <v>1167</v>
      </c>
      <c r="E63" s="854" t="s">
        <v>1284</v>
      </c>
      <c r="F63" s="874" t="s">
        <v>1003</v>
      </c>
      <c r="G63" s="854" t="s">
        <v>465</v>
      </c>
      <c r="H63" s="854" t="s">
        <v>240</v>
      </c>
      <c r="I63" s="854">
        <v>0</v>
      </c>
      <c r="J63" s="854" t="s">
        <v>1268</v>
      </c>
      <c r="K63" s="854">
        <v>0</v>
      </c>
      <c r="L63" s="858">
        <v>21238.05</v>
      </c>
      <c r="M63" s="858">
        <v>9515.1</v>
      </c>
      <c r="N63" s="858">
        <v>0</v>
      </c>
      <c r="O63" s="690"/>
      <c r="P63" s="803"/>
    </row>
    <row r="64" spans="2:16" ht="18" customHeight="1" x14ac:dyDescent="0.25">
      <c r="B64" s="825" t="s">
        <v>116</v>
      </c>
      <c r="C64" s="825" t="s">
        <v>116</v>
      </c>
      <c r="D64" s="825" t="s">
        <v>116</v>
      </c>
      <c r="E64" s="826" t="s">
        <v>116</v>
      </c>
      <c r="F64" s="875" t="s">
        <v>1207</v>
      </c>
      <c r="G64" s="826" t="s">
        <v>116</v>
      </c>
      <c r="H64" s="826" t="s">
        <v>116</v>
      </c>
      <c r="I64" s="825" t="s">
        <v>1271</v>
      </c>
      <c r="J64" s="825" t="s">
        <v>116</v>
      </c>
      <c r="K64" s="825" t="s">
        <v>116</v>
      </c>
      <c r="L64" s="823" t="s">
        <v>116</v>
      </c>
      <c r="M64" s="607" t="s">
        <v>116</v>
      </c>
      <c r="N64" s="607" t="s">
        <v>116</v>
      </c>
      <c r="O64" s="690"/>
      <c r="P64" s="803"/>
    </row>
    <row r="65" spans="2:16" ht="36.75" customHeight="1" x14ac:dyDescent="0.25">
      <c r="B65" s="825" t="s">
        <v>116</v>
      </c>
      <c r="C65" s="825" t="s">
        <v>116</v>
      </c>
      <c r="D65" s="825" t="s">
        <v>116</v>
      </c>
      <c r="E65" s="826" t="s">
        <v>116</v>
      </c>
      <c r="F65" s="875" t="s">
        <v>1304</v>
      </c>
      <c r="G65" s="826" t="s">
        <v>116</v>
      </c>
      <c r="H65" s="826" t="s">
        <v>116</v>
      </c>
      <c r="I65" s="825" t="s">
        <v>1272</v>
      </c>
      <c r="J65" s="825" t="s">
        <v>116</v>
      </c>
      <c r="K65" s="825" t="s">
        <v>116</v>
      </c>
      <c r="L65" s="823" t="s">
        <v>116</v>
      </c>
      <c r="M65" s="607" t="s">
        <v>116</v>
      </c>
      <c r="N65" s="607" t="s">
        <v>116</v>
      </c>
      <c r="O65" s="690"/>
      <c r="P65" s="803"/>
    </row>
    <row r="66" spans="2:16" ht="37.5" customHeight="1" x14ac:dyDescent="0.25">
      <c r="B66" s="825" t="s">
        <v>116</v>
      </c>
      <c r="C66" s="825" t="s">
        <v>116</v>
      </c>
      <c r="D66" s="825" t="s">
        <v>116</v>
      </c>
      <c r="E66" s="826" t="s">
        <v>116</v>
      </c>
      <c r="F66" s="875" t="s">
        <v>1310</v>
      </c>
      <c r="G66" s="826" t="s">
        <v>116</v>
      </c>
      <c r="H66" s="826" t="s">
        <v>116</v>
      </c>
      <c r="I66" s="885" t="s">
        <v>1270</v>
      </c>
      <c r="J66" s="885" t="s">
        <v>116</v>
      </c>
      <c r="K66" s="886" t="s">
        <v>116</v>
      </c>
      <c r="L66" s="607" t="s">
        <v>116</v>
      </c>
      <c r="M66" s="607" t="s">
        <v>116</v>
      </c>
      <c r="N66" s="607" t="s">
        <v>116</v>
      </c>
      <c r="O66" s="690"/>
      <c r="P66" s="803"/>
    </row>
    <row r="67" spans="2:16" ht="19.5" customHeight="1" x14ac:dyDescent="0.25">
      <c r="B67" s="825" t="s">
        <v>116</v>
      </c>
      <c r="C67" s="825" t="s">
        <v>116</v>
      </c>
      <c r="D67" s="825" t="s">
        <v>116</v>
      </c>
      <c r="E67" s="826" t="s">
        <v>116</v>
      </c>
      <c r="F67" s="875" t="s">
        <v>1269</v>
      </c>
      <c r="G67" s="826" t="s">
        <v>116</v>
      </c>
      <c r="H67" s="826" t="s">
        <v>116</v>
      </c>
      <c r="I67" s="885" t="s">
        <v>116</v>
      </c>
      <c r="J67" s="900" t="s">
        <v>1270</v>
      </c>
      <c r="K67" s="914" t="s">
        <v>116</v>
      </c>
      <c r="L67" s="607" t="s">
        <v>116</v>
      </c>
      <c r="M67" s="607" t="s">
        <v>116</v>
      </c>
      <c r="N67" s="607" t="s">
        <v>116</v>
      </c>
      <c r="O67" s="690"/>
      <c r="P67" s="803"/>
    </row>
    <row r="68" spans="2:16" ht="27.75" customHeight="1" x14ac:dyDescent="0.25">
      <c r="B68" s="853" t="s">
        <v>263</v>
      </c>
      <c r="C68" s="853" t="s">
        <v>63</v>
      </c>
      <c r="D68" s="869" t="s">
        <v>1166</v>
      </c>
      <c r="E68" s="870" t="s">
        <v>1072</v>
      </c>
      <c r="F68" s="871" t="s">
        <v>1004</v>
      </c>
      <c r="G68" s="870" t="s">
        <v>465</v>
      </c>
      <c r="H68" s="870" t="s">
        <v>240</v>
      </c>
      <c r="I68" s="870">
        <v>0</v>
      </c>
      <c r="J68" s="870" t="s">
        <v>1268</v>
      </c>
      <c r="K68" s="870">
        <v>0</v>
      </c>
      <c r="L68" s="858">
        <v>2727.21</v>
      </c>
      <c r="M68" s="858">
        <v>5469.02</v>
      </c>
      <c r="N68" s="858">
        <v>0</v>
      </c>
      <c r="O68" s="690"/>
      <c r="P68" s="803"/>
    </row>
    <row r="69" spans="2:16" ht="23.25" customHeight="1" x14ac:dyDescent="0.25">
      <c r="B69" s="825" t="s">
        <v>116</v>
      </c>
      <c r="C69" s="825" t="s">
        <v>116</v>
      </c>
      <c r="D69" s="825" t="s">
        <v>116</v>
      </c>
      <c r="E69" s="826" t="s">
        <v>116</v>
      </c>
      <c r="F69" s="875" t="s">
        <v>1207</v>
      </c>
      <c r="G69" s="826" t="s">
        <v>116</v>
      </c>
      <c r="H69" s="826" t="s">
        <v>116</v>
      </c>
      <c r="I69" s="885" t="s">
        <v>1220</v>
      </c>
      <c r="J69" s="885" t="s">
        <v>116</v>
      </c>
      <c r="K69" s="885" t="s">
        <v>116</v>
      </c>
      <c r="L69" s="607" t="s">
        <v>116</v>
      </c>
      <c r="M69" s="607" t="s">
        <v>116</v>
      </c>
      <c r="N69" s="607" t="s">
        <v>116</v>
      </c>
      <c r="O69" s="690"/>
      <c r="P69" s="803"/>
    </row>
    <row r="70" spans="2:16" ht="36" customHeight="1" x14ac:dyDescent="0.25">
      <c r="B70" s="825" t="s">
        <v>116</v>
      </c>
      <c r="C70" s="825" t="s">
        <v>116</v>
      </c>
      <c r="D70" s="825" t="s">
        <v>116</v>
      </c>
      <c r="E70" s="826" t="s">
        <v>116</v>
      </c>
      <c r="F70" s="875" t="s">
        <v>1304</v>
      </c>
      <c r="G70" s="826" t="s">
        <v>116</v>
      </c>
      <c r="H70" s="826" t="s">
        <v>116</v>
      </c>
      <c r="I70" s="885" t="s">
        <v>1219</v>
      </c>
      <c r="J70" s="885" t="s">
        <v>116</v>
      </c>
      <c r="K70" s="885" t="s">
        <v>116</v>
      </c>
      <c r="L70" s="607" t="s">
        <v>116</v>
      </c>
      <c r="M70" s="607" t="s">
        <v>116</v>
      </c>
      <c r="N70" s="607" t="s">
        <v>116</v>
      </c>
      <c r="O70" s="690"/>
      <c r="P70" s="803"/>
    </row>
    <row r="71" spans="2:16" ht="37.5" customHeight="1" x14ac:dyDescent="0.25">
      <c r="B71" s="825" t="s">
        <v>116</v>
      </c>
      <c r="C71" s="825" t="s">
        <v>116</v>
      </c>
      <c r="D71" s="825" t="s">
        <v>116</v>
      </c>
      <c r="E71" s="826" t="s">
        <v>116</v>
      </c>
      <c r="F71" s="875" t="s">
        <v>1305</v>
      </c>
      <c r="G71" s="826" t="s">
        <v>116</v>
      </c>
      <c r="H71" s="826" t="s">
        <v>116</v>
      </c>
      <c r="I71" s="885" t="s">
        <v>1270</v>
      </c>
      <c r="J71" s="900" t="s">
        <v>116</v>
      </c>
      <c r="K71" s="885" t="s">
        <v>116</v>
      </c>
      <c r="L71" s="607" t="s">
        <v>116</v>
      </c>
      <c r="M71" s="607" t="s">
        <v>116</v>
      </c>
      <c r="N71" s="607" t="s">
        <v>116</v>
      </c>
      <c r="O71" s="690"/>
      <c r="P71" s="803"/>
    </row>
    <row r="72" spans="2:16" ht="23.25" customHeight="1" x14ac:dyDescent="0.25">
      <c r="B72" s="825" t="s">
        <v>116</v>
      </c>
      <c r="C72" s="825" t="s">
        <v>116</v>
      </c>
      <c r="D72" s="825" t="s">
        <v>116</v>
      </c>
      <c r="E72" s="826" t="s">
        <v>116</v>
      </c>
      <c r="F72" s="875" t="s">
        <v>1269</v>
      </c>
      <c r="G72" s="826" t="s">
        <v>116</v>
      </c>
      <c r="H72" s="826" t="s">
        <v>116</v>
      </c>
      <c r="I72" s="885" t="s">
        <v>116</v>
      </c>
      <c r="J72" s="900" t="s">
        <v>1270</v>
      </c>
      <c r="K72" s="900" t="s">
        <v>116</v>
      </c>
      <c r="L72" s="607" t="s">
        <v>116</v>
      </c>
      <c r="M72" s="607" t="s">
        <v>116</v>
      </c>
      <c r="N72" s="607" t="s">
        <v>116</v>
      </c>
      <c r="O72" s="690"/>
      <c r="P72" s="803"/>
    </row>
    <row r="73" spans="2:16" ht="41.25" customHeight="1" x14ac:dyDescent="0.25">
      <c r="B73" s="853" t="s">
        <v>263</v>
      </c>
      <c r="C73" s="853" t="s">
        <v>63</v>
      </c>
      <c r="D73" s="853" t="s">
        <v>1168</v>
      </c>
      <c r="E73" s="854" t="s">
        <v>1284</v>
      </c>
      <c r="F73" s="856" t="s">
        <v>1115</v>
      </c>
      <c r="G73" s="854" t="s">
        <v>465</v>
      </c>
      <c r="H73" s="854" t="s">
        <v>240</v>
      </c>
      <c r="I73" s="854">
        <v>0</v>
      </c>
      <c r="J73" s="854">
        <v>0</v>
      </c>
      <c r="K73" s="854">
        <v>1</v>
      </c>
      <c r="L73" s="858">
        <v>0</v>
      </c>
      <c r="M73" s="858">
        <v>8838.92</v>
      </c>
      <c r="N73" s="858">
        <v>92771.85</v>
      </c>
      <c r="O73" s="690"/>
      <c r="P73" s="803"/>
    </row>
    <row r="74" spans="2:16" ht="21" customHeight="1" x14ac:dyDescent="0.25">
      <c r="B74" s="607" t="s">
        <v>116</v>
      </c>
      <c r="C74" s="607" t="s">
        <v>116</v>
      </c>
      <c r="D74" s="607" t="s">
        <v>116</v>
      </c>
      <c r="E74" s="605" t="s">
        <v>116</v>
      </c>
      <c r="F74" s="875" t="s">
        <v>1208</v>
      </c>
      <c r="G74" s="826" t="s">
        <v>116</v>
      </c>
      <c r="H74" s="826" t="s">
        <v>116</v>
      </c>
      <c r="I74" s="885" t="s">
        <v>116</v>
      </c>
      <c r="J74" s="885" t="s">
        <v>1271</v>
      </c>
      <c r="K74" s="885" t="s">
        <v>116</v>
      </c>
      <c r="L74" s="886" t="s">
        <v>116</v>
      </c>
      <c r="M74" s="607" t="s">
        <v>116</v>
      </c>
      <c r="N74" s="607" t="s">
        <v>116</v>
      </c>
      <c r="O74" s="690"/>
      <c r="P74" s="803"/>
    </row>
    <row r="75" spans="2:16" ht="18" customHeight="1" x14ac:dyDescent="0.25">
      <c r="B75" s="607" t="s">
        <v>116</v>
      </c>
      <c r="C75" s="607" t="s">
        <v>116</v>
      </c>
      <c r="D75" s="607" t="s">
        <v>116</v>
      </c>
      <c r="E75" s="605" t="s">
        <v>116</v>
      </c>
      <c r="F75" s="875" t="s">
        <v>1207</v>
      </c>
      <c r="G75" s="826" t="s">
        <v>116</v>
      </c>
      <c r="H75" s="826" t="s">
        <v>116</v>
      </c>
      <c r="I75" s="885" t="s">
        <v>116</v>
      </c>
      <c r="J75" s="885" t="s">
        <v>1219</v>
      </c>
      <c r="K75" s="885" t="s">
        <v>116</v>
      </c>
      <c r="L75" s="886" t="s">
        <v>116</v>
      </c>
      <c r="M75" s="607" t="s">
        <v>116</v>
      </c>
      <c r="N75" s="607" t="s">
        <v>116</v>
      </c>
      <c r="O75" s="690"/>
      <c r="P75" s="803"/>
    </row>
    <row r="76" spans="2:16" ht="36.75" customHeight="1" x14ac:dyDescent="0.25">
      <c r="B76" s="607" t="s">
        <v>116</v>
      </c>
      <c r="C76" s="607" t="s">
        <v>116</v>
      </c>
      <c r="D76" s="607" t="s">
        <v>116</v>
      </c>
      <c r="E76" s="605" t="s">
        <v>116</v>
      </c>
      <c r="F76" s="875" t="s">
        <v>1306</v>
      </c>
      <c r="G76" s="885" t="s">
        <v>116</v>
      </c>
      <c r="H76" s="885" t="s">
        <v>116</v>
      </c>
      <c r="I76" s="885" t="s">
        <v>116</v>
      </c>
      <c r="J76" s="885" t="s">
        <v>1219</v>
      </c>
      <c r="K76" s="885" t="s">
        <v>116</v>
      </c>
      <c r="L76" s="886" t="s">
        <v>116</v>
      </c>
      <c r="M76" s="607" t="s">
        <v>116</v>
      </c>
      <c r="N76" s="607" t="s">
        <v>116</v>
      </c>
      <c r="O76" s="690"/>
      <c r="P76" s="803"/>
    </row>
    <row r="77" spans="2:16" ht="18.75" customHeight="1" x14ac:dyDescent="0.25">
      <c r="B77" s="825"/>
      <c r="C77" s="825"/>
      <c r="D77" s="825"/>
      <c r="E77" s="826"/>
      <c r="F77" s="875" t="s">
        <v>1273</v>
      </c>
      <c r="G77" s="885" t="s">
        <v>116</v>
      </c>
      <c r="H77" s="885" t="s">
        <v>116</v>
      </c>
      <c r="I77" s="885" t="s">
        <v>116</v>
      </c>
      <c r="J77" s="885" t="s">
        <v>116</v>
      </c>
      <c r="K77" s="885" t="s">
        <v>1219</v>
      </c>
      <c r="L77" s="886" t="s">
        <v>116</v>
      </c>
      <c r="M77" s="607" t="s">
        <v>116</v>
      </c>
      <c r="N77" s="607" t="s">
        <v>116</v>
      </c>
      <c r="O77" s="690"/>
      <c r="P77" s="803"/>
    </row>
    <row r="78" spans="2:16" ht="19.5" customHeight="1" x14ac:dyDescent="0.25">
      <c r="B78" s="1350" t="s">
        <v>263</v>
      </c>
      <c r="C78" s="1350" t="s">
        <v>63</v>
      </c>
      <c r="D78" s="1350" t="s">
        <v>1169</v>
      </c>
      <c r="E78" s="1352" t="s">
        <v>1195</v>
      </c>
      <c r="F78" s="1354" t="s">
        <v>1116</v>
      </c>
      <c r="G78" s="854" t="s">
        <v>465</v>
      </c>
      <c r="H78" s="1352" t="s">
        <v>240</v>
      </c>
      <c r="I78" s="854">
        <v>0</v>
      </c>
      <c r="J78" s="854">
        <v>0</v>
      </c>
      <c r="K78" s="854">
        <v>0</v>
      </c>
      <c r="L78" s="1356">
        <v>0</v>
      </c>
      <c r="M78" s="1356">
        <v>32895.68</v>
      </c>
      <c r="N78" s="1356">
        <v>6161.02</v>
      </c>
      <c r="O78" s="690"/>
      <c r="P78" s="803"/>
    </row>
    <row r="79" spans="2:16" ht="18" customHeight="1" x14ac:dyDescent="0.25">
      <c r="B79" s="1351"/>
      <c r="C79" s="1351"/>
      <c r="D79" s="1351"/>
      <c r="E79" s="1353"/>
      <c r="F79" s="1355"/>
      <c r="G79" s="870" t="s">
        <v>1224</v>
      </c>
      <c r="H79" s="1353"/>
      <c r="I79" s="870">
        <v>0</v>
      </c>
      <c r="J79" s="870">
        <v>1</v>
      </c>
      <c r="K79" s="870">
        <v>0</v>
      </c>
      <c r="L79" s="1357"/>
      <c r="M79" s="1357"/>
      <c r="N79" s="1357"/>
      <c r="O79" s="690"/>
      <c r="P79" s="803"/>
    </row>
    <row r="80" spans="2:16" ht="21.75" customHeight="1" x14ac:dyDescent="0.25">
      <c r="B80" s="607" t="s">
        <v>116</v>
      </c>
      <c r="C80" s="607" t="s">
        <v>116</v>
      </c>
      <c r="D80" s="607" t="s">
        <v>116</v>
      </c>
      <c r="E80" s="605" t="s">
        <v>116</v>
      </c>
      <c r="F80" s="875" t="s">
        <v>1208</v>
      </c>
      <c r="G80" s="826" t="s">
        <v>116</v>
      </c>
      <c r="H80" s="826" t="s">
        <v>116</v>
      </c>
      <c r="I80" s="825" t="s">
        <v>116</v>
      </c>
      <c r="J80" s="899" t="s">
        <v>1271</v>
      </c>
      <c r="K80" s="914" t="s">
        <v>116</v>
      </c>
      <c r="L80" s="607" t="s">
        <v>116</v>
      </c>
      <c r="M80" s="607" t="s">
        <v>116</v>
      </c>
      <c r="N80" s="607" t="s">
        <v>116</v>
      </c>
      <c r="O80" s="690"/>
      <c r="P80" s="803"/>
    </row>
    <row r="81" spans="1:24" ht="17.25" customHeight="1" x14ac:dyDescent="0.25">
      <c r="B81" s="607" t="s">
        <v>116</v>
      </c>
      <c r="C81" s="607" t="s">
        <v>116</v>
      </c>
      <c r="D81" s="607" t="s">
        <v>116</v>
      </c>
      <c r="E81" s="605" t="s">
        <v>116</v>
      </c>
      <c r="F81" s="875" t="s">
        <v>1207</v>
      </c>
      <c r="G81" s="826" t="s">
        <v>116</v>
      </c>
      <c r="H81" s="826" t="s">
        <v>116</v>
      </c>
      <c r="I81" s="825" t="s">
        <v>116</v>
      </c>
      <c r="J81" s="899" t="s">
        <v>1219</v>
      </c>
      <c r="K81" s="914" t="s">
        <v>116</v>
      </c>
      <c r="L81" s="607" t="s">
        <v>116</v>
      </c>
      <c r="M81" s="607" t="s">
        <v>116</v>
      </c>
      <c r="N81" s="607" t="s">
        <v>116</v>
      </c>
      <c r="O81" s="690"/>
      <c r="P81" s="803"/>
    </row>
    <row r="82" spans="1:24" ht="36" customHeight="1" x14ac:dyDescent="0.25">
      <c r="B82" s="607" t="s">
        <v>116</v>
      </c>
      <c r="C82" s="607" t="s">
        <v>116</v>
      </c>
      <c r="D82" s="607" t="s">
        <v>116</v>
      </c>
      <c r="E82" s="605" t="s">
        <v>116</v>
      </c>
      <c r="F82" s="875" t="s">
        <v>1304</v>
      </c>
      <c r="G82" s="605" t="s">
        <v>116</v>
      </c>
      <c r="H82" s="826" t="s">
        <v>116</v>
      </c>
      <c r="I82" s="605" t="s">
        <v>116</v>
      </c>
      <c r="J82" s="901" t="s">
        <v>1219</v>
      </c>
      <c r="K82" s="910" t="s">
        <v>116</v>
      </c>
      <c r="L82" s="823" t="s">
        <v>116</v>
      </c>
      <c r="M82" s="607" t="s">
        <v>116</v>
      </c>
      <c r="N82" s="607" t="s">
        <v>116</v>
      </c>
      <c r="O82" s="690"/>
      <c r="P82" s="803"/>
    </row>
    <row r="83" spans="1:24" ht="36" customHeight="1" x14ac:dyDescent="0.25">
      <c r="B83" s="911" t="s">
        <v>116</v>
      </c>
      <c r="C83" s="911" t="s">
        <v>116</v>
      </c>
      <c r="D83" s="911" t="s">
        <v>116</v>
      </c>
      <c r="E83" s="914" t="s">
        <v>116</v>
      </c>
      <c r="F83" s="875" t="s">
        <v>1311</v>
      </c>
      <c r="G83" s="914" t="s">
        <v>116</v>
      </c>
      <c r="H83" s="912" t="s">
        <v>116</v>
      </c>
      <c r="I83" s="914" t="s">
        <v>116</v>
      </c>
      <c r="J83" s="914" t="s">
        <v>116</v>
      </c>
      <c r="K83" s="885" t="s">
        <v>1219</v>
      </c>
      <c r="L83" s="913" t="s">
        <v>116</v>
      </c>
      <c r="M83" s="911" t="s">
        <v>116</v>
      </c>
      <c r="N83" s="911" t="s">
        <v>116</v>
      </c>
      <c r="O83" s="909"/>
      <c r="P83" s="803"/>
      <c r="X83" s="916"/>
    </row>
    <row r="84" spans="1:24" ht="39.75" customHeight="1" x14ac:dyDescent="0.25">
      <c r="B84" s="836" t="s">
        <v>263</v>
      </c>
      <c r="C84" s="836" t="s">
        <v>63</v>
      </c>
      <c r="D84" s="836" t="s">
        <v>1124</v>
      </c>
      <c r="E84" s="837" t="s">
        <v>116</v>
      </c>
      <c r="F84" s="838" t="s">
        <v>1123</v>
      </c>
      <c r="G84" s="827" t="s">
        <v>190</v>
      </c>
      <c r="H84" s="842" t="s">
        <v>240</v>
      </c>
      <c r="I84" s="837">
        <v>1</v>
      </c>
      <c r="J84" s="837">
        <v>0</v>
      </c>
      <c r="K84" s="837">
        <v>0</v>
      </c>
      <c r="L84" s="839">
        <f>L85+L90</f>
        <v>287177.29000000004</v>
      </c>
      <c r="M84" s="839">
        <v>0</v>
      </c>
      <c r="N84" s="839">
        <v>0</v>
      </c>
      <c r="O84" s="690"/>
      <c r="P84" s="803"/>
      <c r="X84" s="916"/>
    </row>
    <row r="85" spans="1:24" ht="37.5" customHeight="1" x14ac:dyDescent="0.25">
      <c r="A85" s="51"/>
      <c r="B85" s="853" t="s">
        <v>263</v>
      </c>
      <c r="C85" s="853" t="s">
        <v>63</v>
      </c>
      <c r="D85" s="853" t="s">
        <v>1124</v>
      </c>
      <c r="E85" s="854" t="s">
        <v>1149</v>
      </c>
      <c r="F85" s="856" t="s">
        <v>1150</v>
      </c>
      <c r="G85" s="854" t="s">
        <v>190</v>
      </c>
      <c r="H85" s="854" t="s">
        <v>240</v>
      </c>
      <c r="I85" s="854">
        <v>1</v>
      </c>
      <c r="J85" s="854">
        <v>0</v>
      </c>
      <c r="K85" s="854">
        <v>0</v>
      </c>
      <c r="L85" s="858">
        <v>110000</v>
      </c>
      <c r="M85" s="858">
        <v>0</v>
      </c>
      <c r="N85" s="858">
        <v>0</v>
      </c>
      <c r="X85" s="916"/>
    </row>
    <row r="86" spans="1:24" ht="20.25" customHeight="1" x14ac:dyDescent="0.25">
      <c r="A86" s="51"/>
      <c r="B86" s="607" t="s">
        <v>116</v>
      </c>
      <c r="C86" s="607" t="s">
        <v>116</v>
      </c>
      <c r="D86" s="607" t="s">
        <v>116</v>
      </c>
      <c r="E86" s="605" t="s">
        <v>116</v>
      </c>
      <c r="F86" s="875" t="s">
        <v>1208</v>
      </c>
      <c r="G86" s="826" t="s">
        <v>116</v>
      </c>
      <c r="H86" s="826" t="s">
        <v>116</v>
      </c>
      <c r="I86" s="825" t="s">
        <v>1221</v>
      </c>
      <c r="J86" s="825" t="s">
        <v>116</v>
      </c>
      <c r="K86" s="825" t="s">
        <v>116</v>
      </c>
      <c r="L86" s="607" t="s">
        <v>116</v>
      </c>
      <c r="M86" s="607" t="s">
        <v>116</v>
      </c>
      <c r="N86" s="607" t="s">
        <v>116</v>
      </c>
      <c r="X86" s="916"/>
    </row>
    <row r="87" spans="1:24" ht="18.75" customHeight="1" x14ac:dyDescent="0.25">
      <c r="A87" s="51"/>
      <c r="B87" s="607" t="s">
        <v>116</v>
      </c>
      <c r="C87" s="607" t="s">
        <v>116</v>
      </c>
      <c r="D87" s="607" t="s">
        <v>116</v>
      </c>
      <c r="E87" s="605" t="s">
        <v>116</v>
      </c>
      <c r="F87" s="875" t="s">
        <v>1207</v>
      </c>
      <c r="G87" s="826" t="s">
        <v>116</v>
      </c>
      <c r="H87" s="826" t="s">
        <v>116</v>
      </c>
      <c r="I87" s="825" t="s">
        <v>1217</v>
      </c>
      <c r="J87" s="825" t="s">
        <v>116</v>
      </c>
      <c r="K87" s="825" t="s">
        <v>116</v>
      </c>
      <c r="L87" s="607" t="s">
        <v>116</v>
      </c>
      <c r="M87" s="607" t="s">
        <v>116</v>
      </c>
      <c r="N87" s="607" t="s">
        <v>116</v>
      </c>
      <c r="X87" s="916"/>
    </row>
    <row r="88" spans="1:24" ht="25.5" customHeight="1" x14ac:dyDescent="0.25">
      <c r="A88" s="51"/>
      <c r="B88" s="607" t="s">
        <v>116</v>
      </c>
      <c r="C88" s="607" t="s">
        <v>116</v>
      </c>
      <c r="D88" s="607" t="s">
        <v>116</v>
      </c>
      <c r="E88" s="605" t="s">
        <v>116</v>
      </c>
      <c r="F88" s="875" t="s">
        <v>1307</v>
      </c>
      <c r="G88" s="605" t="s">
        <v>116</v>
      </c>
      <c r="H88" s="826" t="s">
        <v>116</v>
      </c>
      <c r="I88" s="607" t="s">
        <v>1222</v>
      </c>
      <c r="J88" s="605" t="s">
        <v>116</v>
      </c>
      <c r="K88" s="607" t="s">
        <v>116</v>
      </c>
      <c r="L88" s="823" t="s">
        <v>116</v>
      </c>
      <c r="M88" s="607" t="s">
        <v>116</v>
      </c>
      <c r="N88" s="607" t="s">
        <v>116</v>
      </c>
      <c r="X88" s="916"/>
    </row>
    <row r="89" spans="1:24" ht="18" customHeight="1" x14ac:dyDescent="0.25">
      <c r="A89" s="51"/>
      <c r="B89" s="607" t="s">
        <v>116</v>
      </c>
      <c r="C89" s="607" t="s">
        <v>116</v>
      </c>
      <c r="D89" s="607" t="s">
        <v>116</v>
      </c>
      <c r="E89" s="605" t="s">
        <v>116</v>
      </c>
      <c r="F89" s="646" t="s">
        <v>1209</v>
      </c>
      <c r="G89" s="605" t="s">
        <v>116</v>
      </c>
      <c r="H89" s="826" t="s">
        <v>116</v>
      </c>
      <c r="I89" s="899" t="s">
        <v>1223</v>
      </c>
      <c r="J89" s="605" t="s">
        <v>116</v>
      </c>
      <c r="K89" s="607" t="s">
        <v>116</v>
      </c>
      <c r="L89" s="823" t="s">
        <v>116</v>
      </c>
      <c r="M89" s="607" t="s">
        <v>116</v>
      </c>
      <c r="N89" s="607" t="s">
        <v>116</v>
      </c>
      <c r="X89" s="916"/>
    </row>
    <row r="90" spans="1:24" ht="34.5" customHeight="1" x14ac:dyDescent="0.25">
      <c r="B90" s="853" t="s">
        <v>263</v>
      </c>
      <c r="C90" s="853" t="s">
        <v>63</v>
      </c>
      <c r="D90" s="853" t="s">
        <v>1124</v>
      </c>
      <c r="E90" s="854" t="s">
        <v>1149</v>
      </c>
      <c r="F90" s="856" t="s">
        <v>1183</v>
      </c>
      <c r="G90" s="854" t="s">
        <v>190</v>
      </c>
      <c r="H90" s="854" t="s">
        <v>240</v>
      </c>
      <c r="I90" s="854">
        <v>1</v>
      </c>
      <c r="J90" s="854">
        <v>0</v>
      </c>
      <c r="K90" s="854">
        <v>0</v>
      </c>
      <c r="L90" s="858">
        <v>177177.29</v>
      </c>
      <c r="M90" s="858">
        <v>0</v>
      </c>
      <c r="N90" s="858">
        <v>0</v>
      </c>
      <c r="X90" s="916"/>
    </row>
    <row r="91" spans="1:24" ht="20.25" customHeight="1" x14ac:dyDescent="0.25">
      <c r="B91" s="607" t="s">
        <v>116</v>
      </c>
      <c r="C91" s="607" t="s">
        <v>116</v>
      </c>
      <c r="D91" s="607" t="s">
        <v>116</v>
      </c>
      <c r="E91" s="605" t="s">
        <v>116</v>
      </c>
      <c r="F91" s="873" t="s">
        <v>1210</v>
      </c>
      <c r="G91" s="605" t="s">
        <v>116</v>
      </c>
      <c r="H91" s="605" t="s">
        <v>116</v>
      </c>
      <c r="I91" s="825" t="s">
        <v>116</v>
      </c>
      <c r="J91" s="825" t="s">
        <v>116</v>
      </c>
      <c r="K91" s="825" t="s">
        <v>116</v>
      </c>
      <c r="L91" s="607" t="s">
        <v>116</v>
      </c>
      <c r="M91" s="607" t="s">
        <v>116</v>
      </c>
      <c r="N91" s="607" t="s">
        <v>116</v>
      </c>
      <c r="X91" s="916"/>
    </row>
    <row r="92" spans="1:24" ht="15.75" customHeight="1" x14ac:dyDescent="0.25">
      <c r="B92" s="607" t="s">
        <v>116</v>
      </c>
      <c r="C92" s="607" t="s">
        <v>116</v>
      </c>
      <c r="D92" s="607" t="s">
        <v>116</v>
      </c>
      <c r="E92" s="605" t="s">
        <v>116</v>
      </c>
      <c r="F92" s="873" t="s">
        <v>1207</v>
      </c>
      <c r="G92" s="605" t="s">
        <v>116</v>
      </c>
      <c r="H92" s="605" t="s">
        <v>116</v>
      </c>
      <c r="I92" s="900" t="s">
        <v>1217</v>
      </c>
      <c r="J92" s="825" t="s">
        <v>116</v>
      </c>
      <c r="K92" s="825" t="s">
        <v>116</v>
      </c>
      <c r="L92" s="607" t="s">
        <v>116</v>
      </c>
      <c r="M92" s="607" t="s">
        <v>116</v>
      </c>
      <c r="N92" s="607" t="s">
        <v>116</v>
      </c>
      <c r="X92" s="916"/>
    </row>
    <row r="93" spans="1:24" ht="12.75" customHeight="1" x14ac:dyDescent="0.25">
      <c r="B93" s="806" t="s">
        <v>116</v>
      </c>
      <c r="C93" s="808" t="s">
        <v>116</v>
      </c>
      <c r="D93" s="808" t="s">
        <v>116</v>
      </c>
      <c r="E93" s="808" t="s">
        <v>116</v>
      </c>
      <c r="F93" s="646" t="s">
        <v>1209</v>
      </c>
      <c r="G93" s="808" t="s">
        <v>116</v>
      </c>
      <c r="H93" s="808" t="s">
        <v>116</v>
      </c>
      <c r="I93" s="607" t="s">
        <v>1218</v>
      </c>
      <c r="J93" s="808" t="s">
        <v>116</v>
      </c>
      <c r="K93" s="808" t="s">
        <v>116</v>
      </c>
      <c r="L93" s="872" t="s">
        <v>116</v>
      </c>
      <c r="M93" s="872" t="s">
        <v>116</v>
      </c>
      <c r="N93" s="872" t="s">
        <v>116</v>
      </c>
      <c r="X93" s="916"/>
    </row>
    <row r="94" spans="1:24" x14ac:dyDescent="0.25">
      <c r="X94" s="916"/>
    </row>
    <row r="100" spans="2:6" x14ac:dyDescent="0.25">
      <c r="B100" s="1361"/>
      <c r="C100" s="1361"/>
      <c r="D100" s="1361"/>
      <c r="E100" s="1361"/>
      <c r="F100" s="1361"/>
    </row>
    <row r="101" spans="2:6" ht="27" customHeight="1" x14ac:dyDescent="0.25">
      <c r="B101" s="1362" t="s">
        <v>1275</v>
      </c>
      <c r="C101" s="1362"/>
      <c r="D101" s="1362"/>
      <c r="E101" s="1362"/>
      <c r="F101" s="892" t="s">
        <v>1276</v>
      </c>
    </row>
    <row r="103" spans="2:6" x14ac:dyDescent="0.25">
      <c r="B103" s="890" t="s">
        <v>748</v>
      </c>
      <c r="C103" s="1363" t="s">
        <v>1277</v>
      </c>
      <c r="D103" s="1363"/>
      <c r="E103" s="1363"/>
    </row>
    <row r="104" spans="2:6" x14ac:dyDescent="0.25">
      <c r="B104" s="890"/>
      <c r="C104" s="1363" t="s">
        <v>1278</v>
      </c>
      <c r="D104" s="1363"/>
      <c r="E104" s="1363"/>
    </row>
  </sheetData>
  <autoFilter ref="C14:N84" xr:uid="{00000000-0009-0000-0000-00000F000000}"/>
  <mergeCells count="48">
    <mergeCell ref="B8:N8"/>
    <mergeCell ref="B9:N9"/>
    <mergeCell ref="B11:B13"/>
    <mergeCell ref="C11:C13"/>
    <mergeCell ref="D11:D13"/>
    <mergeCell ref="E11:E13"/>
    <mergeCell ref="F11:F13"/>
    <mergeCell ref="G11:K11"/>
    <mergeCell ref="L11:N11"/>
    <mergeCell ref="G12:G13"/>
    <mergeCell ref="H12:H13"/>
    <mergeCell ref="I12:K12"/>
    <mergeCell ref="L12:L13"/>
    <mergeCell ref="M12:M13"/>
    <mergeCell ref="N12:N13"/>
    <mergeCell ref="B100:F100"/>
    <mergeCell ref="B101:E101"/>
    <mergeCell ref="C103:E103"/>
    <mergeCell ref="C104:E104"/>
    <mergeCell ref="N78:N79"/>
    <mergeCell ref="B18:E18"/>
    <mergeCell ref="G18:N18"/>
    <mergeCell ref="B22:E22"/>
    <mergeCell ref="G22:N22"/>
    <mergeCell ref="B27:E27"/>
    <mergeCell ref="G27:N27"/>
    <mergeCell ref="B33:E33"/>
    <mergeCell ref="G33:N33"/>
    <mergeCell ref="B37:E37"/>
    <mergeCell ref="G37:N37"/>
    <mergeCell ref="B41:E41"/>
    <mergeCell ref="G41:N41"/>
    <mergeCell ref="B46:E46"/>
    <mergeCell ref="G46:N46"/>
    <mergeCell ref="B50:E50"/>
    <mergeCell ref="G50:N50"/>
    <mergeCell ref="B54:E54"/>
    <mergeCell ref="G54:N54"/>
    <mergeCell ref="B58:E58"/>
    <mergeCell ref="G58:N58"/>
    <mergeCell ref="B78:B79"/>
    <mergeCell ref="C78:C79"/>
    <mergeCell ref="D78:D79"/>
    <mergeCell ref="E78:E79"/>
    <mergeCell ref="F78:F79"/>
    <mergeCell ref="H78:H79"/>
    <mergeCell ref="L78:L79"/>
    <mergeCell ref="M78:M79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74" fitToHeight="0" orientation="landscape" r:id="rId1"/>
  <headerFooter differentFirst="1" alignWithMargins="0">
    <oddHeader>&amp;C&amp;P</oddHead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  <pageSetUpPr fitToPage="1"/>
  </sheetPr>
  <dimension ref="A1:AC145"/>
  <sheetViews>
    <sheetView showWhiteSpace="0" zoomScale="80" zoomScaleNormal="80" workbookViewId="0">
      <pane ySplit="13" topLeftCell="A116" activePane="bottomLeft" state="frozen"/>
      <selection pane="bottomLeft" activeCell="L61" sqref="L61"/>
    </sheetView>
  </sheetViews>
  <sheetFormatPr defaultColWidth="8.85546875" defaultRowHeight="15.75" x14ac:dyDescent="0.25"/>
  <cols>
    <col min="1" max="1" width="2.140625" style="37" customWidth="1"/>
    <col min="2" max="2" width="13" style="37" customWidth="1"/>
    <col min="3" max="3" width="12.28515625" style="48" customWidth="1"/>
    <col min="4" max="4" width="12.5703125" style="48" customWidth="1"/>
    <col min="5" max="5" width="14.7109375" style="48" customWidth="1"/>
    <col min="6" max="6" width="32.42578125" style="802" customWidth="1"/>
    <col min="7" max="7" width="21.28515625" style="798" customWidth="1"/>
    <col min="8" max="8" width="6.42578125" style="48" customWidth="1"/>
    <col min="9" max="9" width="11.42578125" style="48" customWidth="1"/>
    <col min="10" max="10" width="9.42578125" style="48" customWidth="1"/>
    <col min="11" max="11" width="8.7109375" style="48" customWidth="1"/>
    <col min="12" max="12" width="13" style="707" customWidth="1"/>
    <col min="13" max="13" width="11.42578125" style="707" customWidth="1"/>
    <col min="14" max="14" width="11.140625" style="707" customWidth="1"/>
    <col min="15" max="15" width="9.85546875" style="37" hidden="1" customWidth="1"/>
    <col min="16" max="16" width="20.5703125" style="37" hidden="1" customWidth="1"/>
    <col min="17" max="17" width="0" style="37" hidden="1" customWidth="1"/>
    <col min="18" max="18" width="36.28515625" style="37" hidden="1" customWidth="1"/>
    <col min="19" max="19" width="27.7109375" style="37" hidden="1" customWidth="1"/>
    <col min="20" max="20" width="18.7109375" style="37" hidden="1" customWidth="1"/>
    <col min="21" max="21" width="16.85546875" style="37" hidden="1" customWidth="1"/>
    <col min="22" max="22" width="20.85546875" style="37" hidden="1" customWidth="1"/>
    <col min="23" max="23" width="15" style="37" hidden="1" customWidth="1"/>
    <col min="24" max="24" width="9.85546875" style="37" customWidth="1"/>
    <col min="25" max="25" width="10.28515625" style="37" customWidth="1"/>
    <col min="26" max="26" width="13.140625" style="37" bestFit="1" customWidth="1"/>
    <col min="27" max="27" width="9.140625" style="37" bestFit="1" customWidth="1"/>
    <col min="28" max="28" width="14.28515625" style="37" bestFit="1" customWidth="1"/>
    <col min="29" max="16384" width="8.85546875" style="37"/>
  </cols>
  <sheetData>
    <row r="1" spans="2:27" x14ac:dyDescent="0.25">
      <c r="I1" s="787" t="s">
        <v>1232</v>
      </c>
    </row>
    <row r="2" spans="2:27" x14ac:dyDescent="0.25">
      <c r="I2" s="787" t="s">
        <v>1074</v>
      </c>
    </row>
    <row r="3" spans="2:27" x14ac:dyDescent="0.25">
      <c r="I3" s="787" t="s">
        <v>499</v>
      </c>
    </row>
    <row r="4" spans="2:27" x14ac:dyDescent="0.25">
      <c r="I4" s="787" t="s">
        <v>500</v>
      </c>
    </row>
    <row r="5" spans="2:27" x14ac:dyDescent="0.25">
      <c r="I5" s="787" t="s">
        <v>1188</v>
      </c>
    </row>
    <row r="6" spans="2:27" x14ac:dyDescent="0.25">
      <c r="I6" s="787" t="s">
        <v>502</v>
      </c>
    </row>
    <row r="7" spans="2:27" ht="18.75" x14ac:dyDescent="0.25">
      <c r="C7" s="651"/>
      <c r="D7" s="80"/>
      <c r="E7" s="80"/>
      <c r="F7" s="92"/>
      <c r="G7" s="80"/>
      <c r="H7" s="80"/>
      <c r="I7" s="80"/>
      <c r="J7" s="80"/>
      <c r="K7" s="80"/>
      <c r="L7" s="788"/>
      <c r="M7" s="788"/>
    </row>
    <row r="8" spans="2:27" ht="18.75" customHeight="1" x14ac:dyDescent="0.25">
      <c r="B8" s="1361" t="s">
        <v>1121</v>
      </c>
      <c r="C8" s="1361"/>
      <c r="D8" s="1361"/>
      <c r="E8" s="1361"/>
      <c r="F8" s="1361"/>
      <c r="G8" s="1361"/>
      <c r="H8" s="1361"/>
      <c r="I8" s="1361"/>
      <c r="J8" s="1361"/>
      <c r="K8" s="1361"/>
      <c r="L8" s="1361"/>
      <c r="M8" s="1361"/>
      <c r="N8" s="1361"/>
    </row>
    <row r="9" spans="2:27" ht="42.75" customHeight="1" x14ac:dyDescent="0.25">
      <c r="B9" s="1073" t="s">
        <v>1164</v>
      </c>
      <c r="C9" s="1073"/>
      <c r="D9" s="1073"/>
      <c r="E9" s="1073"/>
      <c r="F9" s="1073"/>
      <c r="G9" s="1073"/>
      <c r="H9" s="1073"/>
      <c r="I9" s="1073"/>
      <c r="J9" s="1073"/>
      <c r="K9" s="1073"/>
      <c r="L9" s="1073"/>
      <c r="M9" s="1073"/>
      <c r="N9" s="1073"/>
    </row>
    <row r="11" spans="2:27" ht="30.75" customHeight="1" x14ac:dyDescent="0.25">
      <c r="B11" s="1364" t="s">
        <v>1118</v>
      </c>
      <c r="C11" s="1364" t="s">
        <v>1119</v>
      </c>
      <c r="D11" s="1364" t="s">
        <v>4</v>
      </c>
      <c r="E11" s="1364" t="s">
        <v>1120</v>
      </c>
      <c r="F11" s="1364" t="s">
        <v>1162</v>
      </c>
      <c r="G11" s="1364" t="s">
        <v>1161</v>
      </c>
      <c r="H11" s="1364"/>
      <c r="I11" s="1364"/>
      <c r="J11" s="1364"/>
      <c r="K11" s="1364"/>
      <c r="L11" s="1364" t="s">
        <v>1165</v>
      </c>
      <c r="M11" s="1364"/>
      <c r="N11" s="1364"/>
      <c r="O11" s="803"/>
      <c r="P11" s="803"/>
    </row>
    <row r="12" spans="2:27" ht="15.75" customHeight="1" x14ac:dyDescent="0.25">
      <c r="B12" s="1364"/>
      <c r="C12" s="1364"/>
      <c r="D12" s="1364"/>
      <c r="E12" s="1364"/>
      <c r="F12" s="1364"/>
      <c r="G12" s="1364" t="s">
        <v>18</v>
      </c>
      <c r="H12" s="1364" t="s">
        <v>148</v>
      </c>
      <c r="I12" s="1364" t="s">
        <v>150</v>
      </c>
      <c r="J12" s="1364"/>
      <c r="K12" s="1364"/>
      <c r="L12" s="1364" t="s">
        <v>1091</v>
      </c>
      <c r="M12" s="1364" t="s">
        <v>1092</v>
      </c>
      <c r="N12" s="1364" t="s">
        <v>1117</v>
      </c>
      <c r="O12" s="803"/>
      <c r="P12" s="803"/>
    </row>
    <row r="13" spans="2:27" ht="27" customHeight="1" x14ac:dyDescent="0.25">
      <c r="B13" s="1364"/>
      <c r="C13" s="1364"/>
      <c r="D13" s="1364"/>
      <c r="E13" s="1364"/>
      <c r="F13" s="1364"/>
      <c r="G13" s="1364"/>
      <c r="H13" s="1364"/>
      <c r="I13" s="832" t="s">
        <v>1091</v>
      </c>
      <c r="J13" s="841" t="s">
        <v>1092</v>
      </c>
      <c r="K13" s="841" t="s">
        <v>1117</v>
      </c>
      <c r="L13" s="1364"/>
      <c r="M13" s="1364"/>
      <c r="N13" s="1364"/>
      <c r="O13" s="803"/>
      <c r="P13" s="803"/>
    </row>
    <row r="14" spans="2:27" x14ac:dyDescent="0.25">
      <c r="B14" s="806">
        <v>1</v>
      </c>
      <c r="C14" s="808">
        <v>2</v>
      </c>
      <c r="D14" s="808">
        <v>3</v>
      </c>
      <c r="E14" s="808">
        <v>4</v>
      </c>
      <c r="F14" s="808">
        <v>5</v>
      </c>
      <c r="G14" s="808">
        <v>6</v>
      </c>
      <c r="H14" s="808">
        <v>7</v>
      </c>
      <c r="I14" s="808">
        <v>8</v>
      </c>
      <c r="J14" s="808">
        <v>10</v>
      </c>
      <c r="K14" s="808">
        <v>11</v>
      </c>
      <c r="L14" s="808">
        <v>13</v>
      </c>
      <c r="M14" s="808">
        <v>14</v>
      </c>
      <c r="N14" s="808">
        <v>15</v>
      </c>
      <c r="O14" s="803"/>
      <c r="P14" s="803"/>
      <c r="X14" s="803"/>
      <c r="Y14" s="803"/>
      <c r="Z14" s="804"/>
      <c r="AA14" s="803"/>
    </row>
    <row r="15" spans="2:27" ht="20.25" customHeight="1" thickBot="1" x14ac:dyDescent="0.3">
      <c r="B15" s="896" t="s">
        <v>116</v>
      </c>
      <c r="C15" s="865" t="s">
        <v>116</v>
      </c>
      <c r="D15" s="865"/>
      <c r="E15" s="865" t="s">
        <v>116</v>
      </c>
      <c r="F15" s="866" t="s">
        <v>1163</v>
      </c>
      <c r="G15" s="865" t="s">
        <v>116</v>
      </c>
      <c r="H15" s="865" t="s">
        <v>116</v>
      </c>
      <c r="I15" s="865" t="s">
        <v>116</v>
      </c>
      <c r="J15" s="865" t="s">
        <v>116</v>
      </c>
      <c r="K15" s="865" t="s">
        <v>116</v>
      </c>
      <c r="L15" s="864">
        <f>L16+L28+L55+L63</f>
        <v>511996.87000000005</v>
      </c>
      <c r="M15" s="864">
        <f>M16+M28+M55+M63</f>
        <v>490491.65000000008</v>
      </c>
      <c r="N15" s="864">
        <f>N16+N28+N55+N63</f>
        <v>491596.76000000007</v>
      </c>
      <c r="O15" s="803"/>
      <c r="P15" s="803">
        <v>874740.37</v>
      </c>
      <c r="U15" s="37">
        <v>905599.27</v>
      </c>
      <c r="V15" s="51">
        <v>737063.728</v>
      </c>
      <c r="W15" s="37">
        <v>836796.02099999995</v>
      </c>
      <c r="X15" s="811"/>
      <c r="Y15" s="811"/>
      <c r="Z15" s="810"/>
      <c r="AA15" s="805"/>
    </row>
    <row r="16" spans="2:27" ht="64.5" customHeight="1" x14ac:dyDescent="0.25">
      <c r="B16" s="836" t="s">
        <v>374</v>
      </c>
      <c r="C16" s="836" t="s">
        <v>63</v>
      </c>
      <c r="D16" s="844">
        <v>67311</v>
      </c>
      <c r="E16" s="844" t="s">
        <v>116</v>
      </c>
      <c r="F16" s="838" t="s">
        <v>699</v>
      </c>
      <c r="G16" s="837" t="s">
        <v>1061</v>
      </c>
      <c r="H16" s="837" t="s">
        <v>241</v>
      </c>
      <c r="I16" s="887">
        <f>SUM(I17:I26)</f>
        <v>2111</v>
      </c>
      <c r="J16" s="887">
        <f>SUM(J17:J26)</f>
        <v>2111</v>
      </c>
      <c r="K16" s="887">
        <f>SUM(K17:K26)</f>
        <v>2111</v>
      </c>
      <c r="L16" s="839">
        <f>SUM(L17:L27)</f>
        <v>39978.639999999999</v>
      </c>
      <c r="M16" s="839">
        <f>SUM(M17:M27)</f>
        <v>39978.639999999999</v>
      </c>
      <c r="N16" s="839">
        <f>SUM(N17:N27)</f>
        <v>39978.639999999999</v>
      </c>
      <c r="O16" s="801" t="e">
        <f>#REF!+#REF!</f>
        <v>#REF!</v>
      </c>
      <c r="P16" s="803"/>
      <c r="X16" s="817"/>
      <c r="Y16" s="861"/>
      <c r="Z16" s="805"/>
      <c r="AA16" s="831"/>
    </row>
    <row r="17" spans="2:29" ht="61.5" customHeight="1" x14ac:dyDescent="0.25">
      <c r="B17" s="823" t="s">
        <v>374</v>
      </c>
      <c r="C17" s="607" t="s">
        <v>63</v>
      </c>
      <c r="D17" s="605">
        <v>67311</v>
      </c>
      <c r="E17" s="605" t="s">
        <v>200</v>
      </c>
      <c r="F17" s="819" t="s">
        <v>699</v>
      </c>
      <c r="G17" s="605" t="s">
        <v>1061</v>
      </c>
      <c r="H17" s="605" t="s">
        <v>241</v>
      </c>
      <c r="I17" s="880">
        <v>220</v>
      </c>
      <c r="J17" s="880">
        <v>220</v>
      </c>
      <c r="K17" s="880">
        <v>220</v>
      </c>
      <c r="L17" s="834">
        <v>3095.28</v>
      </c>
      <c r="M17" s="834">
        <v>3095.28</v>
      </c>
      <c r="N17" s="834">
        <v>3095.28</v>
      </c>
      <c r="O17" s="791"/>
      <c r="P17" s="673"/>
      <c r="Q17" s="791"/>
      <c r="R17" s="800"/>
      <c r="S17" s="673"/>
      <c r="T17" s="673"/>
      <c r="U17" s="807"/>
      <c r="V17" s="684"/>
      <c r="W17" s="673"/>
      <c r="X17" s="684"/>
      <c r="Y17" s="690"/>
      <c r="Z17" s="690"/>
      <c r="AA17" s="690"/>
      <c r="AB17" s="690"/>
      <c r="AC17" s="803"/>
    </row>
    <row r="18" spans="2:29" ht="61.5" customHeight="1" x14ac:dyDescent="0.25">
      <c r="B18" s="823" t="s">
        <v>374</v>
      </c>
      <c r="C18" s="607" t="s">
        <v>63</v>
      </c>
      <c r="D18" s="605">
        <v>67311</v>
      </c>
      <c r="E18" s="605" t="s">
        <v>1079</v>
      </c>
      <c r="F18" s="819" t="s">
        <v>699</v>
      </c>
      <c r="G18" s="605" t="s">
        <v>1061</v>
      </c>
      <c r="H18" s="605" t="s">
        <v>241</v>
      </c>
      <c r="I18" s="880">
        <v>74</v>
      </c>
      <c r="J18" s="880">
        <v>74</v>
      </c>
      <c r="K18" s="880">
        <v>74</v>
      </c>
      <c r="L18" s="834">
        <v>1293.1300000000001</v>
      </c>
      <c r="M18" s="834">
        <v>1293.1300000000001</v>
      </c>
      <c r="N18" s="834">
        <v>1293.1300000000001</v>
      </c>
      <c r="O18" s="791"/>
      <c r="P18" s="673"/>
      <c r="Q18" s="791"/>
      <c r="R18" s="800"/>
      <c r="S18" s="673"/>
      <c r="T18" s="673"/>
      <c r="U18" s="807"/>
      <c r="V18" s="684"/>
      <c r="W18" s="673"/>
      <c r="X18" s="684"/>
      <c r="Y18" s="690"/>
      <c r="Z18" s="690"/>
      <c r="AA18" s="690"/>
      <c r="AB18" s="690"/>
      <c r="AC18" s="803"/>
    </row>
    <row r="19" spans="2:29" ht="58.5" customHeight="1" x14ac:dyDescent="0.25">
      <c r="B19" s="823" t="s">
        <v>374</v>
      </c>
      <c r="C19" s="607" t="s">
        <v>63</v>
      </c>
      <c r="D19" s="605">
        <v>67311</v>
      </c>
      <c r="E19" s="605" t="s">
        <v>1075</v>
      </c>
      <c r="F19" s="819" t="s">
        <v>699</v>
      </c>
      <c r="G19" s="605" t="s">
        <v>1061</v>
      </c>
      <c r="H19" s="605" t="s">
        <v>241</v>
      </c>
      <c r="I19" s="880">
        <v>116</v>
      </c>
      <c r="J19" s="880">
        <v>116</v>
      </c>
      <c r="K19" s="880">
        <v>116</v>
      </c>
      <c r="L19" s="834">
        <v>2595.91</v>
      </c>
      <c r="M19" s="834">
        <v>2595.91</v>
      </c>
      <c r="N19" s="834">
        <v>2595.91</v>
      </c>
      <c r="O19" s="791"/>
      <c r="P19" s="673"/>
      <c r="Q19" s="791"/>
      <c r="R19" s="800"/>
      <c r="S19" s="673"/>
      <c r="T19" s="673"/>
      <c r="U19" s="807"/>
      <c r="V19" s="684"/>
      <c r="W19" s="673"/>
      <c r="X19" s="684"/>
      <c r="Y19" s="690"/>
      <c r="Z19" s="690"/>
      <c r="AA19" s="690"/>
      <c r="AB19" s="690"/>
      <c r="AC19" s="803"/>
    </row>
    <row r="20" spans="2:29" ht="59.25" customHeight="1" x14ac:dyDescent="0.25">
      <c r="B20" s="823" t="s">
        <v>374</v>
      </c>
      <c r="C20" s="607" t="s">
        <v>63</v>
      </c>
      <c r="D20" s="605">
        <v>67311</v>
      </c>
      <c r="E20" s="605" t="s">
        <v>1082</v>
      </c>
      <c r="F20" s="819" t="s">
        <v>699</v>
      </c>
      <c r="G20" s="605" t="s">
        <v>1061</v>
      </c>
      <c r="H20" s="605" t="s">
        <v>241</v>
      </c>
      <c r="I20" s="880">
        <v>153</v>
      </c>
      <c r="J20" s="880">
        <v>153</v>
      </c>
      <c r="K20" s="880">
        <v>153</v>
      </c>
      <c r="L20" s="845">
        <v>4222.8</v>
      </c>
      <c r="M20" s="845">
        <v>4222.8</v>
      </c>
      <c r="N20" s="845">
        <v>4222.8</v>
      </c>
      <c r="O20" s="791"/>
      <c r="P20" s="673"/>
      <c r="Q20" s="791"/>
      <c r="R20" s="800"/>
      <c r="S20" s="673"/>
      <c r="T20" s="673"/>
      <c r="U20" s="807"/>
      <c r="V20" s="684"/>
      <c r="W20" s="673"/>
      <c r="X20" s="684"/>
      <c r="Y20" s="690"/>
      <c r="Z20" s="690"/>
      <c r="AA20" s="690"/>
      <c r="AB20" s="690"/>
      <c r="AC20" s="803"/>
    </row>
    <row r="21" spans="2:29" ht="79.5" customHeight="1" x14ac:dyDescent="0.25">
      <c r="B21" s="823" t="s">
        <v>374</v>
      </c>
      <c r="C21" s="607" t="s">
        <v>63</v>
      </c>
      <c r="D21" s="605">
        <v>67311</v>
      </c>
      <c r="E21" s="605" t="s">
        <v>1067</v>
      </c>
      <c r="F21" s="819" t="s">
        <v>699</v>
      </c>
      <c r="G21" s="605" t="s">
        <v>1061</v>
      </c>
      <c r="H21" s="605" t="s">
        <v>241</v>
      </c>
      <c r="I21" s="880">
        <v>363</v>
      </c>
      <c r="J21" s="880">
        <v>363</v>
      </c>
      <c r="K21" s="880">
        <v>363</v>
      </c>
      <c r="L21" s="834">
        <v>9253.66</v>
      </c>
      <c r="M21" s="834">
        <v>9253.66</v>
      </c>
      <c r="N21" s="834">
        <v>9253.66</v>
      </c>
      <c r="O21" s="791"/>
      <c r="P21" s="673"/>
      <c r="Q21" s="791"/>
      <c r="R21" s="800"/>
      <c r="S21" s="673"/>
      <c r="T21" s="673"/>
      <c r="U21" s="807"/>
      <c r="V21" s="684"/>
      <c r="W21" s="673"/>
      <c r="X21" s="684"/>
      <c r="Y21" s="690"/>
      <c r="Z21" s="690"/>
      <c r="AA21" s="690"/>
      <c r="AB21" s="690"/>
      <c r="AC21" s="803"/>
    </row>
    <row r="22" spans="2:29" ht="66.75" customHeight="1" x14ac:dyDescent="0.25">
      <c r="B22" s="823" t="s">
        <v>374</v>
      </c>
      <c r="C22" s="607" t="s">
        <v>63</v>
      </c>
      <c r="D22" s="605">
        <v>67311</v>
      </c>
      <c r="E22" s="605" t="s">
        <v>1069</v>
      </c>
      <c r="F22" s="819" t="s">
        <v>699</v>
      </c>
      <c r="G22" s="605" t="s">
        <v>1061</v>
      </c>
      <c r="H22" s="605" t="s">
        <v>241</v>
      </c>
      <c r="I22" s="880">
        <v>607</v>
      </c>
      <c r="J22" s="880">
        <v>607</v>
      </c>
      <c r="K22" s="880">
        <v>607</v>
      </c>
      <c r="L22" s="834">
        <v>5497.69</v>
      </c>
      <c r="M22" s="834">
        <v>5497.69</v>
      </c>
      <c r="N22" s="834">
        <v>5497.69</v>
      </c>
      <c r="O22" s="791"/>
      <c r="P22" s="673"/>
      <c r="Q22" s="791"/>
      <c r="R22" s="800"/>
      <c r="S22" s="673"/>
      <c r="T22" s="673"/>
      <c r="U22" s="807"/>
      <c r="V22" s="684"/>
      <c r="W22" s="673"/>
      <c r="X22" s="684"/>
      <c r="Y22" s="690"/>
      <c r="Z22" s="690"/>
      <c r="AA22" s="690"/>
      <c r="AB22" s="690"/>
      <c r="AC22" s="803"/>
    </row>
    <row r="23" spans="2:29" ht="66" customHeight="1" x14ac:dyDescent="0.25">
      <c r="B23" s="823" t="s">
        <v>374</v>
      </c>
      <c r="C23" s="607" t="s">
        <v>63</v>
      </c>
      <c r="D23" s="605">
        <v>67311</v>
      </c>
      <c r="E23" s="605" t="s">
        <v>1068</v>
      </c>
      <c r="F23" s="819" t="s">
        <v>699</v>
      </c>
      <c r="G23" s="605" t="s">
        <v>1061</v>
      </c>
      <c r="H23" s="605" t="s">
        <v>241</v>
      </c>
      <c r="I23" s="880">
        <v>177</v>
      </c>
      <c r="J23" s="880">
        <v>177</v>
      </c>
      <c r="K23" s="880">
        <v>177</v>
      </c>
      <c r="L23" s="834">
        <v>4193.03</v>
      </c>
      <c r="M23" s="834">
        <v>4193.03</v>
      </c>
      <c r="N23" s="834">
        <v>4193.03</v>
      </c>
      <c r="O23" s="834">
        <v>4193.03</v>
      </c>
      <c r="P23" s="834">
        <v>4193.03</v>
      </c>
      <c r="Q23" s="834">
        <v>4193.03</v>
      </c>
      <c r="R23" s="834">
        <v>4193.03</v>
      </c>
      <c r="S23" s="834">
        <v>4193.03</v>
      </c>
      <c r="T23" s="834">
        <v>4193.03</v>
      </c>
      <c r="U23" s="834">
        <v>4193.03</v>
      </c>
      <c r="V23" s="834">
        <v>4193.03</v>
      </c>
      <c r="W23" s="834">
        <v>4193.03</v>
      </c>
      <c r="X23" s="684"/>
      <c r="Y23" s="690"/>
      <c r="Z23" s="690"/>
      <c r="AA23" s="690"/>
      <c r="AB23" s="690"/>
      <c r="AC23" s="803"/>
    </row>
    <row r="24" spans="2:29" ht="61.5" customHeight="1" x14ac:dyDescent="0.25">
      <c r="B24" s="823" t="s">
        <v>374</v>
      </c>
      <c r="C24" s="607" t="s">
        <v>63</v>
      </c>
      <c r="D24" s="605">
        <v>67311</v>
      </c>
      <c r="E24" s="605" t="s">
        <v>1081</v>
      </c>
      <c r="F24" s="819" t="s">
        <v>699</v>
      </c>
      <c r="G24" s="605" t="s">
        <v>1061</v>
      </c>
      <c r="H24" s="605" t="s">
        <v>241</v>
      </c>
      <c r="I24" s="880">
        <v>176</v>
      </c>
      <c r="J24" s="880">
        <v>176</v>
      </c>
      <c r="K24" s="880">
        <v>176</v>
      </c>
      <c r="L24" s="834">
        <v>5424.36</v>
      </c>
      <c r="M24" s="834">
        <v>5424.36</v>
      </c>
      <c r="N24" s="834">
        <v>5424.36</v>
      </c>
      <c r="O24" s="791"/>
      <c r="P24" s="673"/>
      <c r="Q24" s="791"/>
      <c r="R24" s="800"/>
      <c r="S24" s="673"/>
      <c r="T24" s="673"/>
      <c r="U24" s="807"/>
      <c r="V24" s="684"/>
      <c r="W24" s="673"/>
      <c r="X24" s="684"/>
      <c r="Y24" s="690"/>
      <c r="Z24" s="690"/>
      <c r="AA24" s="690"/>
      <c r="AB24" s="690"/>
      <c r="AC24" s="803"/>
    </row>
    <row r="25" spans="2:29" ht="65.25" customHeight="1" x14ac:dyDescent="0.25">
      <c r="B25" s="823" t="s">
        <v>374</v>
      </c>
      <c r="C25" s="607" t="s">
        <v>63</v>
      </c>
      <c r="D25" s="605">
        <v>67311</v>
      </c>
      <c r="E25" s="605" t="s">
        <v>1078</v>
      </c>
      <c r="F25" s="819" t="s">
        <v>699</v>
      </c>
      <c r="G25" s="605" t="s">
        <v>1061</v>
      </c>
      <c r="H25" s="605" t="s">
        <v>241</v>
      </c>
      <c r="I25" s="880">
        <v>200</v>
      </c>
      <c r="J25" s="880">
        <v>200</v>
      </c>
      <c r="K25" s="880">
        <v>200</v>
      </c>
      <c r="L25" s="834">
        <v>2586.5500000000002</v>
      </c>
      <c r="M25" s="834">
        <v>2586.5500000000002</v>
      </c>
      <c r="N25" s="834">
        <v>2586.5500000000002</v>
      </c>
      <c r="O25" s="791"/>
      <c r="P25" s="673"/>
      <c r="Q25" s="791"/>
      <c r="R25" s="800"/>
      <c r="S25" s="673"/>
      <c r="T25" s="673"/>
      <c r="U25" s="807"/>
      <c r="V25" s="684"/>
      <c r="W25" s="673"/>
      <c r="X25" s="684"/>
      <c r="Y25" s="690"/>
      <c r="Z25" s="690"/>
      <c r="AA25" s="690"/>
      <c r="AB25" s="690"/>
      <c r="AC25" s="803"/>
    </row>
    <row r="26" spans="2:29" ht="67.5" customHeight="1" x14ac:dyDescent="0.25">
      <c r="B26" s="823" t="s">
        <v>374</v>
      </c>
      <c r="C26" s="607" t="s">
        <v>63</v>
      </c>
      <c r="D26" s="605">
        <v>67311</v>
      </c>
      <c r="E26" s="605" t="s">
        <v>1077</v>
      </c>
      <c r="F26" s="819" t="s">
        <v>699</v>
      </c>
      <c r="G26" s="605" t="s">
        <v>1061</v>
      </c>
      <c r="H26" s="605" t="s">
        <v>241</v>
      </c>
      <c r="I26" s="880">
        <v>25</v>
      </c>
      <c r="J26" s="880">
        <v>25</v>
      </c>
      <c r="K26" s="880">
        <v>25</v>
      </c>
      <c r="L26" s="834">
        <v>1244.32</v>
      </c>
      <c r="M26" s="834">
        <v>1244.32</v>
      </c>
      <c r="N26" s="834">
        <v>1244.32</v>
      </c>
      <c r="O26" s="699">
        <v>768.16</v>
      </c>
      <c r="P26" s="699">
        <v>768.16</v>
      </c>
      <c r="Q26" s="699">
        <v>768.16</v>
      </c>
      <c r="R26" s="699">
        <v>768.16</v>
      </c>
      <c r="S26" s="699">
        <v>768.16</v>
      </c>
      <c r="T26" s="699">
        <v>768.16</v>
      </c>
      <c r="U26" s="699">
        <v>768.16</v>
      </c>
      <c r="V26" s="699">
        <v>768.16</v>
      </c>
      <c r="W26" s="699">
        <v>768.16</v>
      </c>
      <c r="X26" s="684"/>
      <c r="Y26" s="690"/>
      <c r="Z26" s="690"/>
      <c r="AA26" s="690"/>
      <c r="AB26" s="690"/>
      <c r="AC26" s="803"/>
    </row>
    <row r="27" spans="2:29" ht="18" customHeight="1" x14ac:dyDescent="0.25">
      <c r="B27" s="823" t="s">
        <v>374</v>
      </c>
      <c r="C27" s="607" t="s">
        <v>63</v>
      </c>
      <c r="D27" s="605">
        <v>67311</v>
      </c>
      <c r="E27" s="605" t="s">
        <v>192</v>
      </c>
      <c r="F27" s="819" t="s">
        <v>635</v>
      </c>
      <c r="G27" s="605" t="s">
        <v>116</v>
      </c>
      <c r="H27" s="605" t="s">
        <v>116</v>
      </c>
      <c r="I27" s="605" t="s">
        <v>116</v>
      </c>
      <c r="J27" s="605" t="s">
        <v>116</v>
      </c>
      <c r="K27" s="605" t="s">
        <v>116</v>
      </c>
      <c r="L27" s="834">
        <v>571.91</v>
      </c>
      <c r="M27" s="834">
        <v>571.91</v>
      </c>
      <c r="N27" s="834">
        <v>571.91</v>
      </c>
      <c r="O27" s="791"/>
      <c r="P27" s="673"/>
      <c r="Q27" s="791"/>
      <c r="R27" s="800"/>
      <c r="S27" s="673"/>
      <c r="T27" s="673"/>
      <c r="U27" s="807"/>
      <c r="V27" s="684"/>
      <c r="W27" s="673"/>
      <c r="X27" s="684"/>
      <c r="Y27" s="690"/>
      <c r="Z27" s="690"/>
      <c r="AA27" s="690"/>
      <c r="AB27" s="690"/>
      <c r="AC27" s="803"/>
    </row>
    <row r="28" spans="2:29" ht="54.75" customHeight="1" x14ac:dyDescent="0.25">
      <c r="B28" s="836" t="s">
        <v>374</v>
      </c>
      <c r="C28" s="836" t="s">
        <v>63</v>
      </c>
      <c r="D28" s="844">
        <v>69213</v>
      </c>
      <c r="E28" s="844" t="s">
        <v>116</v>
      </c>
      <c r="F28" s="881" t="s">
        <v>1089</v>
      </c>
      <c r="G28" s="837" t="s">
        <v>187</v>
      </c>
      <c r="H28" s="844" t="s">
        <v>241</v>
      </c>
      <c r="I28" s="887">
        <f t="shared" ref="I28:N28" si="0">SUM(I29:I54)</f>
        <v>8718</v>
      </c>
      <c r="J28" s="887">
        <f t="shared" si="0"/>
        <v>8718</v>
      </c>
      <c r="K28" s="887">
        <f t="shared" si="0"/>
        <v>8718</v>
      </c>
      <c r="L28" s="888">
        <f t="shared" si="0"/>
        <v>380050.30000000005</v>
      </c>
      <c r="M28" s="888">
        <f t="shared" si="0"/>
        <v>380050.30000000005</v>
      </c>
      <c r="N28" s="888">
        <f t="shared" si="0"/>
        <v>380050.30000000005</v>
      </c>
      <c r="O28" s="830" t="e">
        <f>#REF!+#REF!</f>
        <v>#REF!</v>
      </c>
      <c r="P28" s="830" t="e">
        <f>#REF!+#REF!</f>
        <v>#REF!</v>
      </c>
      <c r="Q28" s="830" t="e">
        <f>#REF!+#REF!</f>
        <v>#REF!</v>
      </c>
      <c r="R28" s="830" t="e">
        <f>#REF!+#REF!</f>
        <v>#REF!</v>
      </c>
      <c r="S28" s="830" t="e">
        <f>#REF!+#REF!</f>
        <v>#REF!</v>
      </c>
      <c r="T28" s="830" t="e">
        <f>#REF!+#REF!</f>
        <v>#REF!</v>
      </c>
      <c r="U28" s="830" t="e">
        <f>#REF!+#REF!</f>
        <v>#REF!</v>
      </c>
      <c r="V28" s="830" t="e">
        <f>#REF!+#REF!</f>
        <v>#REF!</v>
      </c>
      <c r="W28" s="830" t="e">
        <f>#REF!+#REF!</f>
        <v>#REF!</v>
      </c>
      <c r="X28" s="816"/>
      <c r="Y28" s="816"/>
      <c r="Z28" s="690"/>
      <c r="AA28" s="690"/>
      <c r="AB28" s="690"/>
      <c r="AC28" s="803"/>
    </row>
    <row r="29" spans="2:29" ht="51.75" customHeight="1" x14ac:dyDescent="0.25">
      <c r="B29" s="823" t="s">
        <v>374</v>
      </c>
      <c r="C29" s="607" t="s">
        <v>63</v>
      </c>
      <c r="D29" s="821">
        <v>69213</v>
      </c>
      <c r="E29" s="605" t="s">
        <v>1070</v>
      </c>
      <c r="F29" s="819" t="s">
        <v>1089</v>
      </c>
      <c r="G29" s="605" t="s">
        <v>187</v>
      </c>
      <c r="H29" s="821" t="s">
        <v>241</v>
      </c>
      <c r="I29" s="605">
        <v>326</v>
      </c>
      <c r="J29" s="605">
        <v>326</v>
      </c>
      <c r="K29" s="605">
        <v>326</v>
      </c>
      <c r="L29" s="834">
        <v>19093.310000000001</v>
      </c>
      <c r="M29" s="834">
        <v>19093.310000000001</v>
      </c>
      <c r="N29" s="834">
        <v>19093.310000000001</v>
      </c>
      <c r="O29" s="690"/>
      <c r="P29" s="803"/>
      <c r="X29" s="803"/>
      <c r="Y29" s="831"/>
      <c r="Z29" s="803"/>
      <c r="AA29" s="803"/>
    </row>
    <row r="30" spans="2:29" ht="50.25" customHeight="1" x14ac:dyDescent="0.25">
      <c r="B30" s="823" t="s">
        <v>374</v>
      </c>
      <c r="C30" s="607" t="s">
        <v>63</v>
      </c>
      <c r="D30" s="821">
        <v>69213</v>
      </c>
      <c r="E30" s="605" t="s">
        <v>1071</v>
      </c>
      <c r="F30" s="819" t="s">
        <v>1089</v>
      </c>
      <c r="G30" s="605" t="s">
        <v>187</v>
      </c>
      <c r="H30" s="821" t="s">
        <v>241</v>
      </c>
      <c r="I30" s="605">
        <v>652</v>
      </c>
      <c r="J30" s="605">
        <v>652</v>
      </c>
      <c r="K30" s="605">
        <v>652</v>
      </c>
      <c r="L30" s="834">
        <v>26826.38</v>
      </c>
      <c r="M30" s="834">
        <v>26826.38</v>
      </c>
      <c r="N30" s="834">
        <v>26826.38</v>
      </c>
      <c r="O30" s="690"/>
      <c r="P30" s="803"/>
      <c r="X30" s="803"/>
      <c r="Y30" s="803"/>
      <c r="Z30" s="803"/>
      <c r="AA30" s="803"/>
    </row>
    <row r="31" spans="2:29" ht="46.5" customHeight="1" x14ac:dyDescent="0.25">
      <c r="B31" s="823" t="s">
        <v>374</v>
      </c>
      <c r="C31" s="607" t="s">
        <v>63</v>
      </c>
      <c r="D31" s="821">
        <v>69213</v>
      </c>
      <c r="E31" s="605" t="s">
        <v>1083</v>
      </c>
      <c r="F31" s="819" t="s">
        <v>1089</v>
      </c>
      <c r="G31" s="605" t="s">
        <v>187</v>
      </c>
      <c r="H31" s="821" t="s">
        <v>241</v>
      </c>
      <c r="I31" s="605">
        <v>570</v>
      </c>
      <c r="J31" s="605">
        <v>570</v>
      </c>
      <c r="K31" s="605">
        <v>570</v>
      </c>
      <c r="L31" s="846">
        <v>23735.53</v>
      </c>
      <c r="M31" s="846">
        <v>23735.53</v>
      </c>
      <c r="N31" s="846">
        <v>23735.53</v>
      </c>
      <c r="O31" s="699">
        <v>19416.37</v>
      </c>
      <c r="P31" s="699">
        <v>19416.37</v>
      </c>
      <c r="Q31" s="699">
        <v>19416.37</v>
      </c>
      <c r="R31" s="699">
        <v>19416.37</v>
      </c>
      <c r="S31" s="699">
        <v>19416.37</v>
      </c>
      <c r="T31" s="699">
        <v>19416.37</v>
      </c>
      <c r="U31" s="699">
        <v>19416.37</v>
      </c>
      <c r="V31" s="699">
        <v>19416.37</v>
      </c>
      <c r="W31" s="699">
        <v>19416.37</v>
      </c>
      <c r="X31" s="803"/>
      <c r="Y31" s="803"/>
      <c r="Z31" s="803"/>
      <c r="AA31" s="803"/>
    </row>
    <row r="32" spans="2:29" ht="54" customHeight="1" x14ac:dyDescent="0.25">
      <c r="B32" s="823" t="s">
        <v>374</v>
      </c>
      <c r="C32" s="607" t="s">
        <v>63</v>
      </c>
      <c r="D32" s="821">
        <v>69213</v>
      </c>
      <c r="E32" s="915" t="s">
        <v>1078</v>
      </c>
      <c r="F32" s="819" t="s">
        <v>1089</v>
      </c>
      <c r="G32" s="605" t="s">
        <v>187</v>
      </c>
      <c r="H32" s="821" t="s">
        <v>241</v>
      </c>
      <c r="I32" s="605">
        <v>1117</v>
      </c>
      <c r="J32" s="605">
        <v>1117</v>
      </c>
      <c r="K32" s="605">
        <v>1117</v>
      </c>
      <c r="L32" s="834">
        <v>49523.67</v>
      </c>
      <c r="M32" s="834">
        <v>49523.67</v>
      </c>
      <c r="N32" s="834">
        <v>49523.67</v>
      </c>
      <c r="O32" s="690"/>
      <c r="P32" s="803"/>
      <c r="X32" s="803"/>
      <c r="Y32" s="803"/>
      <c r="Z32" s="803"/>
      <c r="AA32" s="803"/>
    </row>
    <row r="33" spans="1:27" ht="63.75" customHeight="1" x14ac:dyDescent="0.25">
      <c r="B33" s="823" t="s">
        <v>374</v>
      </c>
      <c r="C33" s="607" t="s">
        <v>63</v>
      </c>
      <c r="D33" s="821">
        <v>69213</v>
      </c>
      <c r="E33" s="605" t="s">
        <v>1079</v>
      </c>
      <c r="F33" s="819" t="s">
        <v>1089</v>
      </c>
      <c r="G33" s="605" t="s">
        <v>187</v>
      </c>
      <c r="H33" s="821" t="s">
        <v>241</v>
      </c>
      <c r="I33" s="605">
        <v>294</v>
      </c>
      <c r="J33" s="605">
        <v>294</v>
      </c>
      <c r="K33" s="605">
        <v>294</v>
      </c>
      <c r="L33" s="834">
        <v>31313.43</v>
      </c>
      <c r="M33" s="834">
        <v>31313.43</v>
      </c>
      <c r="N33" s="834">
        <v>31313.43</v>
      </c>
      <c r="O33" s="690"/>
      <c r="P33" s="803"/>
      <c r="X33" s="803"/>
      <c r="Y33" s="803"/>
      <c r="Z33" s="803"/>
      <c r="AA33" s="803"/>
    </row>
    <row r="34" spans="1:27" ht="48.75" customHeight="1" x14ac:dyDescent="0.25">
      <c r="B34" s="823" t="s">
        <v>374</v>
      </c>
      <c r="C34" s="607" t="s">
        <v>63</v>
      </c>
      <c r="D34" s="821">
        <v>69213</v>
      </c>
      <c r="E34" s="605" t="s">
        <v>1075</v>
      </c>
      <c r="F34" s="819" t="s">
        <v>1089</v>
      </c>
      <c r="G34" s="605" t="s">
        <v>187</v>
      </c>
      <c r="H34" s="821" t="s">
        <v>241</v>
      </c>
      <c r="I34" s="605">
        <v>164</v>
      </c>
      <c r="J34" s="605">
        <v>164</v>
      </c>
      <c r="K34" s="605">
        <v>164</v>
      </c>
      <c r="L34" s="834">
        <v>8711.5</v>
      </c>
      <c r="M34" s="834">
        <v>8711.5</v>
      </c>
      <c r="N34" s="834">
        <v>8711.5</v>
      </c>
      <c r="O34" s="690"/>
      <c r="P34" s="803"/>
      <c r="X34" s="803"/>
      <c r="Y34" s="803"/>
      <c r="Z34" s="803"/>
      <c r="AA34" s="803"/>
    </row>
    <row r="35" spans="1:27" ht="44.25" customHeight="1" x14ac:dyDescent="0.25">
      <c r="A35" s="51"/>
      <c r="B35" s="823" t="s">
        <v>374</v>
      </c>
      <c r="C35" s="607" t="s">
        <v>63</v>
      </c>
      <c r="D35" s="821">
        <v>69213</v>
      </c>
      <c r="E35" s="605" t="s">
        <v>1084</v>
      </c>
      <c r="F35" s="819" t="s">
        <v>1089</v>
      </c>
      <c r="G35" s="605" t="s">
        <v>187</v>
      </c>
      <c r="H35" s="821" t="s">
        <v>241</v>
      </c>
      <c r="I35" s="605">
        <v>395</v>
      </c>
      <c r="J35" s="605">
        <v>395</v>
      </c>
      <c r="K35" s="605">
        <v>395</v>
      </c>
      <c r="L35" s="834">
        <v>13090.15</v>
      </c>
      <c r="M35" s="834">
        <v>13090.15</v>
      </c>
      <c r="N35" s="834">
        <v>13090.15</v>
      </c>
      <c r="X35" s="803"/>
      <c r="Y35" s="803"/>
      <c r="Z35" s="803"/>
      <c r="AA35" s="803"/>
    </row>
    <row r="36" spans="1:27" ht="47.25" customHeight="1" x14ac:dyDescent="0.25">
      <c r="B36" s="823" t="s">
        <v>374</v>
      </c>
      <c r="C36" s="607" t="s">
        <v>63</v>
      </c>
      <c r="D36" s="821">
        <v>69213</v>
      </c>
      <c r="E36" s="605" t="s">
        <v>1085</v>
      </c>
      <c r="F36" s="819" t="s">
        <v>1089</v>
      </c>
      <c r="G36" s="605" t="s">
        <v>187</v>
      </c>
      <c r="H36" s="821" t="s">
        <v>241</v>
      </c>
      <c r="I36" s="605">
        <v>410</v>
      </c>
      <c r="J36" s="605">
        <v>410</v>
      </c>
      <c r="K36" s="605">
        <v>410</v>
      </c>
      <c r="L36" s="834">
        <v>16268.04</v>
      </c>
      <c r="M36" s="834">
        <v>16268.04</v>
      </c>
      <c r="N36" s="834">
        <v>16268.04</v>
      </c>
      <c r="O36" s="834">
        <v>16268.04</v>
      </c>
      <c r="P36" s="834">
        <v>16268.04</v>
      </c>
      <c r="Q36" s="834">
        <v>16268.04</v>
      </c>
      <c r="R36" s="834">
        <v>16268.04</v>
      </c>
      <c r="S36" s="834">
        <v>16268.04</v>
      </c>
      <c r="T36" s="834">
        <v>16268.04</v>
      </c>
      <c r="U36" s="834">
        <v>16268.04</v>
      </c>
      <c r="V36" s="834">
        <v>16268.04</v>
      </c>
      <c r="W36" s="834">
        <v>16268.04</v>
      </c>
      <c r="X36" s="803"/>
      <c r="Y36" s="803"/>
      <c r="Z36" s="803"/>
      <c r="AA36" s="803"/>
    </row>
    <row r="37" spans="1:27" ht="54" customHeight="1" x14ac:dyDescent="0.25">
      <c r="B37" s="823" t="s">
        <v>374</v>
      </c>
      <c r="C37" s="607" t="s">
        <v>63</v>
      </c>
      <c r="D37" s="821">
        <v>69213</v>
      </c>
      <c r="E37" s="605" t="s">
        <v>1086</v>
      </c>
      <c r="F37" s="819" t="s">
        <v>1089</v>
      </c>
      <c r="G37" s="605" t="s">
        <v>187</v>
      </c>
      <c r="H37" s="821" t="s">
        <v>241</v>
      </c>
      <c r="I37" s="605">
        <v>453</v>
      </c>
      <c r="J37" s="605">
        <v>453</v>
      </c>
      <c r="K37" s="605">
        <v>453</v>
      </c>
      <c r="L37" s="834">
        <v>47969.760000000002</v>
      </c>
      <c r="M37" s="834">
        <v>47969.760000000002</v>
      </c>
      <c r="N37" s="834">
        <v>47969.760000000002</v>
      </c>
      <c r="X37" s="803"/>
      <c r="Y37" s="803"/>
      <c r="Z37" s="803"/>
      <c r="AA37" s="803"/>
    </row>
    <row r="38" spans="1:27" ht="80.25" customHeight="1" x14ac:dyDescent="0.25">
      <c r="B38" s="823" t="s">
        <v>374</v>
      </c>
      <c r="C38" s="607" t="s">
        <v>63</v>
      </c>
      <c r="D38" s="821">
        <v>69213</v>
      </c>
      <c r="E38" s="915" t="s">
        <v>1067</v>
      </c>
      <c r="F38" s="819" t="s">
        <v>1089</v>
      </c>
      <c r="G38" s="605" t="s">
        <v>187</v>
      </c>
      <c r="H38" s="821" t="s">
        <v>241</v>
      </c>
      <c r="I38" s="605">
        <v>31</v>
      </c>
      <c r="J38" s="605">
        <v>31</v>
      </c>
      <c r="K38" s="605">
        <v>31</v>
      </c>
      <c r="L38" s="834">
        <v>3158.17</v>
      </c>
      <c r="M38" s="834">
        <v>3158.17</v>
      </c>
      <c r="N38" s="834">
        <v>3158.17</v>
      </c>
      <c r="X38" s="803"/>
      <c r="Y38" s="803"/>
      <c r="Z38" s="803"/>
      <c r="AA38" s="803"/>
    </row>
    <row r="39" spans="1:27" ht="60.75" customHeight="1" x14ac:dyDescent="0.25">
      <c r="B39" s="823" t="s">
        <v>374</v>
      </c>
      <c r="C39" s="607" t="s">
        <v>63</v>
      </c>
      <c r="D39" s="821">
        <v>69213</v>
      </c>
      <c r="E39" s="605" t="s">
        <v>1087</v>
      </c>
      <c r="F39" s="819" t="s">
        <v>1089</v>
      </c>
      <c r="G39" s="605" t="s">
        <v>187</v>
      </c>
      <c r="H39" s="821" t="s">
        <v>241</v>
      </c>
      <c r="I39" s="605">
        <v>537</v>
      </c>
      <c r="J39" s="605">
        <v>537</v>
      </c>
      <c r="K39" s="605">
        <v>537</v>
      </c>
      <c r="L39" s="834">
        <v>19806.86</v>
      </c>
      <c r="M39" s="834">
        <v>19806.86</v>
      </c>
      <c r="N39" s="834">
        <v>19806.86</v>
      </c>
      <c r="O39" s="834">
        <v>19806.86</v>
      </c>
      <c r="P39" s="834">
        <v>19806.86</v>
      </c>
      <c r="Q39" s="834">
        <v>19806.86</v>
      </c>
      <c r="R39" s="834">
        <v>19806.86</v>
      </c>
      <c r="S39" s="834">
        <v>19806.86</v>
      </c>
      <c r="T39" s="834">
        <v>19806.86</v>
      </c>
      <c r="U39" s="834">
        <v>19806.86</v>
      </c>
      <c r="V39" s="834">
        <v>19806.86</v>
      </c>
      <c r="W39" s="834">
        <v>19806.86</v>
      </c>
      <c r="X39" s="803"/>
      <c r="Y39" s="803"/>
      <c r="Z39" s="803"/>
      <c r="AA39" s="803"/>
    </row>
    <row r="40" spans="1:27" ht="53.25" customHeight="1" x14ac:dyDescent="0.25">
      <c r="B40" s="823" t="s">
        <v>374</v>
      </c>
      <c r="C40" s="607" t="s">
        <v>63</v>
      </c>
      <c r="D40" s="821">
        <v>69213</v>
      </c>
      <c r="E40" s="605" t="s">
        <v>1081</v>
      </c>
      <c r="F40" s="819" t="s">
        <v>1089</v>
      </c>
      <c r="G40" s="605" t="s">
        <v>187</v>
      </c>
      <c r="H40" s="821" t="s">
        <v>241</v>
      </c>
      <c r="I40" s="605">
        <v>322</v>
      </c>
      <c r="J40" s="605">
        <v>322</v>
      </c>
      <c r="K40" s="605">
        <v>322</v>
      </c>
      <c r="L40" s="834">
        <v>41885.79</v>
      </c>
      <c r="M40" s="834">
        <v>41885.79</v>
      </c>
      <c r="N40" s="834">
        <v>41885.79</v>
      </c>
      <c r="O40" s="834">
        <v>41885.79</v>
      </c>
      <c r="P40" s="834">
        <v>41885.79</v>
      </c>
      <c r="Q40" s="834">
        <v>41885.79</v>
      </c>
      <c r="R40" s="834">
        <v>41885.79</v>
      </c>
      <c r="S40" s="834">
        <v>41885.79</v>
      </c>
      <c r="T40" s="834">
        <v>41885.79</v>
      </c>
      <c r="U40" s="834">
        <v>41885.79</v>
      </c>
      <c r="V40" s="834">
        <v>41885.79</v>
      </c>
      <c r="W40" s="834">
        <v>41885.79</v>
      </c>
      <c r="X40" s="803"/>
      <c r="Y40" s="803"/>
      <c r="Z40" s="803"/>
      <c r="AA40" s="803"/>
    </row>
    <row r="41" spans="1:27" ht="51.75" customHeight="1" x14ac:dyDescent="0.25">
      <c r="B41" s="823" t="s">
        <v>374</v>
      </c>
      <c r="C41" s="607" t="s">
        <v>63</v>
      </c>
      <c r="D41" s="821">
        <v>69213</v>
      </c>
      <c r="E41" s="605" t="s">
        <v>1073</v>
      </c>
      <c r="F41" s="819" t="s">
        <v>1089</v>
      </c>
      <c r="G41" s="605" t="s">
        <v>187</v>
      </c>
      <c r="H41" s="821" t="s">
        <v>241</v>
      </c>
      <c r="I41" s="605">
        <v>180</v>
      </c>
      <c r="J41" s="605">
        <v>180</v>
      </c>
      <c r="K41" s="605">
        <v>180</v>
      </c>
      <c r="L41" s="834">
        <v>18014.16</v>
      </c>
      <c r="M41" s="834">
        <v>18014.16</v>
      </c>
      <c r="N41" s="834">
        <v>18014.16</v>
      </c>
      <c r="O41" s="699">
        <v>11949.31</v>
      </c>
      <c r="P41" s="699">
        <v>11949.31</v>
      </c>
      <c r="Q41" s="699">
        <v>11949.31</v>
      </c>
      <c r="R41" s="699">
        <v>11949.31</v>
      </c>
      <c r="S41" s="699">
        <v>11949.31</v>
      </c>
      <c r="T41" s="699">
        <v>11949.31</v>
      </c>
      <c r="U41" s="699">
        <v>11949.31</v>
      </c>
      <c r="V41" s="699">
        <v>11949.31</v>
      </c>
      <c r="W41" s="699">
        <v>11949.31</v>
      </c>
      <c r="X41" s="803"/>
      <c r="Y41" s="803"/>
      <c r="Z41" s="803"/>
      <c r="AA41" s="803"/>
    </row>
    <row r="42" spans="1:27" ht="47.25" customHeight="1" x14ac:dyDescent="0.25">
      <c r="B42" s="823" t="s">
        <v>374</v>
      </c>
      <c r="C42" s="607" t="s">
        <v>63</v>
      </c>
      <c r="D42" s="821">
        <v>69213</v>
      </c>
      <c r="E42" s="605" t="s">
        <v>1069</v>
      </c>
      <c r="F42" s="819" t="s">
        <v>1089</v>
      </c>
      <c r="G42" s="605" t="s">
        <v>187</v>
      </c>
      <c r="H42" s="821" t="s">
        <v>241</v>
      </c>
      <c r="I42" s="605">
        <v>275</v>
      </c>
      <c r="J42" s="605">
        <v>275</v>
      </c>
      <c r="K42" s="605">
        <v>275</v>
      </c>
      <c r="L42" s="834">
        <v>17279.77</v>
      </c>
      <c r="M42" s="834">
        <v>17279.77</v>
      </c>
      <c r="N42" s="834">
        <v>17279.77</v>
      </c>
      <c r="O42" s="699">
        <v>9744.9699999999993</v>
      </c>
      <c r="P42" s="699">
        <v>9744.9699999999993</v>
      </c>
      <c r="Q42" s="699">
        <v>9744.9699999999993</v>
      </c>
      <c r="R42" s="699">
        <v>9744.9699999999993</v>
      </c>
      <c r="S42" s="699">
        <v>9744.9699999999993</v>
      </c>
      <c r="T42" s="699">
        <v>9744.9699999999993</v>
      </c>
      <c r="U42" s="699">
        <v>9744.9699999999993</v>
      </c>
      <c r="V42" s="699">
        <v>9744.9699999999993</v>
      </c>
      <c r="W42" s="699">
        <v>9744.9699999999993</v>
      </c>
      <c r="X42" s="803"/>
      <c r="Y42" s="803"/>
      <c r="Z42" s="803"/>
      <c r="AA42" s="803"/>
    </row>
    <row r="43" spans="1:27" ht="63" customHeight="1" x14ac:dyDescent="0.25">
      <c r="B43" s="823" t="s">
        <v>374</v>
      </c>
      <c r="C43" s="607" t="s">
        <v>63</v>
      </c>
      <c r="D43" s="821">
        <v>69213</v>
      </c>
      <c r="E43" s="605" t="s">
        <v>1076</v>
      </c>
      <c r="F43" s="819" t="s">
        <v>1089</v>
      </c>
      <c r="G43" s="605" t="s">
        <v>187</v>
      </c>
      <c r="H43" s="821" t="s">
        <v>241</v>
      </c>
      <c r="I43" s="605">
        <v>228</v>
      </c>
      <c r="J43" s="605">
        <v>228</v>
      </c>
      <c r="K43" s="605">
        <v>228</v>
      </c>
      <c r="L43" s="834">
        <v>16935.650000000001</v>
      </c>
      <c r="M43" s="834">
        <v>16935.650000000001</v>
      </c>
      <c r="N43" s="834">
        <v>16935.650000000001</v>
      </c>
      <c r="X43" s="803"/>
      <c r="Y43" s="803"/>
      <c r="Z43" s="805"/>
      <c r="AA43" s="803"/>
    </row>
    <row r="44" spans="1:27" ht="56.25" customHeight="1" x14ac:dyDescent="0.25">
      <c r="B44" s="823" t="s">
        <v>374</v>
      </c>
      <c r="C44" s="607" t="s">
        <v>63</v>
      </c>
      <c r="D44" s="821">
        <v>69213</v>
      </c>
      <c r="E44" s="605" t="s">
        <v>1077</v>
      </c>
      <c r="F44" s="819" t="s">
        <v>1089</v>
      </c>
      <c r="G44" s="605" t="s">
        <v>187</v>
      </c>
      <c r="H44" s="821" t="s">
        <v>241</v>
      </c>
      <c r="I44" s="607" t="s">
        <v>270</v>
      </c>
      <c r="J44" s="607" t="s">
        <v>270</v>
      </c>
      <c r="K44" s="607" t="s">
        <v>270</v>
      </c>
      <c r="L44" s="834">
        <v>16409.189999999999</v>
      </c>
      <c r="M44" s="834">
        <v>16409.189999999999</v>
      </c>
      <c r="N44" s="834">
        <v>16409.189999999999</v>
      </c>
      <c r="X44" s="803"/>
      <c r="Y44" s="803"/>
      <c r="Z44" s="803"/>
      <c r="AA44" s="803"/>
    </row>
    <row r="45" spans="1:27" ht="21" customHeight="1" x14ac:dyDescent="0.25">
      <c r="B45" s="823" t="s">
        <v>374</v>
      </c>
      <c r="C45" s="607" t="s">
        <v>63</v>
      </c>
      <c r="D45" s="821">
        <v>69213</v>
      </c>
      <c r="E45" s="605" t="s">
        <v>192</v>
      </c>
      <c r="F45" s="819" t="s">
        <v>635</v>
      </c>
      <c r="G45" s="605" t="s">
        <v>116</v>
      </c>
      <c r="H45" s="821" t="s">
        <v>116</v>
      </c>
      <c r="I45" s="605" t="s">
        <v>116</v>
      </c>
      <c r="J45" s="605" t="s">
        <v>116</v>
      </c>
      <c r="K45" s="605" t="s">
        <v>116</v>
      </c>
      <c r="L45" s="834">
        <v>1128.5999999999999</v>
      </c>
      <c r="M45" s="834">
        <v>1128.5999999999999</v>
      </c>
      <c r="N45" s="834">
        <v>1128.5999999999999</v>
      </c>
      <c r="X45" s="803"/>
      <c r="Y45" s="803"/>
      <c r="Z45" s="803"/>
      <c r="AA45" s="803"/>
    </row>
    <row r="46" spans="1:27" ht="49.5" customHeight="1" x14ac:dyDescent="0.25">
      <c r="B46" s="823" t="s">
        <v>374</v>
      </c>
      <c r="C46" s="607" t="s">
        <v>63</v>
      </c>
      <c r="D46" s="821">
        <v>69213</v>
      </c>
      <c r="E46" s="605" t="s">
        <v>1083</v>
      </c>
      <c r="F46" s="819" t="s">
        <v>1172</v>
      </c>
      <c r="G46" s="605" t="s">
        <v>187</v>
      </c>
      <c r="H46" s="821" t="s">
        <v>241</v>
      </c>
      <c r="I46" s="605">
        <v>569</v>
      </c>
      <c r="J46" s="605">
        <v>569</v>
      </c>
      <c r="K46" s="605">
        <v>569</v>
      </c>
      <c r="L46" s="834">
        <v>0</v>
      </c>
      <c r="M46" s="834">
        <v>0</v>
      </c>
      <c r="N46" s="834">
        <v>0</v>
      </c>
      <c r="O46" s="834">
        <v>0</v>
      </c>
      <c r="P46" s="834">
        <v>0</v>
      </c>
      <c r="Q46" s="834">
        <v>0</v>
      </c>
      <c r="R46" s="834">
        <v>0</v>
      </c>
      <c r="S46" s="834">
        <v>0</v>
      </c>
      <c r="T46" s="834">
        <v>0</v>
      </c>
      <c r="U46" s="834">
        <v>0</v>
      </c>
      <c r="V46" s="834">
        <v>0</v>
      </c>
      <c r="W46" s="834">
        <v>0</v>
      </c>
      <c r="X46" s="803"/>
      <c r="Y46" s="805"/>
      <c r="Z46" s="803"/>
      <c r="AA46" s="803"/>
    </row>
    <row r="47" spans="1:27" ht="48.75" customHeight="1" x14ac:dyDescent="0.25">
      <c r="B47" s="823" t="s">
        <v>374</v>
      </c>
      <c r="C47" s="607" t="s">
        <v>63</v>
      </c>
      <c r="D47" s="821">
        <v>69213</v>
      </c>
      <c r="E47" s="915" t="s">
        <v>1078</v>
      </c>
      <c r="F47" s="819" t="s">
        <v>1172</v>
      </c>
      <c r="G47" s="605" t="s">
        <v>187</v>
      </c>
      <c r="H47" s="821" t="s">
        <v>241</v>
      </c>
      <c r="I47" s="605">
        <v>1113</v>
      </c>
      <c r="J47" s="605">
        <v>1113</v>
      </c>
      <c r="K47" s="605">
        <v>1113</v>
      </c>
      <c r="L47" s="834">
        <v>0</v>
      </c>
      <c r="M47" s="834">
        <v>0</v>
      </c>
      <c r="N47" s="834">
        <v>0</v>
      </c>
      <c r="X47" s="803"/>
      <c r="Y47" s="805"/>
      <c r="Z47" s="803"/>
      <c r="AA47" s="803"/>
    </row>
    <row r="48" spans="1:27" ht="51" customHeight="1" x14ac:dyDescent="0.25">
      <c r="B48" s="823" t="s">
        <v>374</v>
      </c>
      <c r="C48" s="607" t="s">
        <v>63</v>
      </c>
      <c r="D48" s="821">
        <v>69213</v>
      </c>
      <c r="E48" s="605" t="s">
        <v>1085</v>
      </c>
      <c r="F48" s="819" t="s">
        <v>1172</v>
      </c>
      <c r="G48" s="605" t="s">
        <v>187</v>
      </c>
      <c r="H48" s="821" t="s">
        <v>241</v>
      </c>
      <c r="I48" s="605">
        <v>410</v>
      </c>
      <c r="J48" s="605">
        <v>410</v>
      </c>
      <c r="K48" s="605">
        <v>410</v>
      </c>
      <c r="L48" s="834">
        <v>0</v>
      </c>
      <c r="M48" s="834">
        <v>0</v>
      </c>
      <c r="N48" s="834">
        <v>0</v>
      </c>
      <c r="X48" s="803"/>
      <c r="Y48" s="803"/>
      <c r="Z48" s="803"/>
      <c r="AA48" s="803"/>
    </row>
    <row r="49" spans="2:27" ht="48.75" customHeight="1" x14ac:dyDescent="0.25">
      <c r="B49" s="823" t="s">
        <v>374</v>
      </c>
      <c r="C49" s="607" t="s">
        <v>63</v>
      </c>
      <c r="D49" s="821">
        <v>69213</v>
      </c>
      <c r="E49" s="605" t="s">
        <v>1087</v>
      </c>
      <c r="F49" s="819" t="s">
        <v>1172</v>
      </c>
      <c r="G49" s="605" t="s">
        <v>187</v>
      </c>
      <c r="H49" s="821" t="s">
        <v>241</v>
      </c>
      <c r="I49" s="605">
        <v>332</v>
      </c>
      <c r="J49" s="605">
        <v>332</v>
      </c>
      <c r="K49" s="605">
        <v>332</v>
      </c>
      <c r="L49" s="834">
        <v>0</v>
      </c>
      <c r="M49" s="834">
        <v>0</v>
      </c>
      <c r="N49" s="834">
        <v>0</v>
      </c>
      <c r="X49" s="803"/>
      <c r="Y49" s="803"/>
      <c r="Z49" s="803"/>
      <c r="AA49" s="803"/>
    </row>
    <row r="50" spans="2:27" ht="48.75" customHeight="1" x14ac:dyDescent="0.25">
      <c r="B50" s="823" t="s">
        <v>374</v>
      </c>
      <c r="C50" s="607" t="s">
        <v>63</v>
      </c>
      <c r="D50" s="821">
        <v>69213</v>
      </c>
      <c r="E50" s="605" t="s">
        <v>1075</v>
      </c>
      <c r="F50" s="819" t="s">
        <v>1172</v>
      </c>
      <c r="G50" s="605" t="s">
        <v>187</v>
      </c>
      <c r="H50" s="821" t="s">
        <v>241</v>
      </c>
      <c r="I50" s="605">
        <v>184</v>
      </c>
      <c r="J50" s="605">
        <v>184</v>
      </c>
      <c r="K50" s="605">
        <v>184</v>
      </c>
      <c r="L50" s="834">
        <v>0</v>
      </c>
      <c r="M50" s="834">
        <v>0</v>
      </c>
      <c r="N50" s="834">
        <v>0</v>
      </c>
      <c r="X50" s="803"/>
      <c r="Y50" s="803"/>
      <c r="Z50" s="803"/>
      <c r="AA50" s="803"/>
    </row>
    <row r="51" spans="2:27" ht="48.75" customHeight="1" x14ac:dyDescent="0.25">
      <c r="B51" s="823" t="s">
        <v>374</v>
      </c>
      <c r="C51" s="607" t="s">
        <v>63</v>
      </c>
      <c r="D51" s="821">
        <v>69213</v>
      </c>
      <c r="E51" s="915" t="s">
        <v>1067</v>
      </c>
      <c r="F51" s="819" t="s">
        <v>1172</v>
      </c>
      <c r="G51" s="605" t="s">
        <v>187</v>
      </c>
      <c r="H51" s="821" t="s">
        <v>241</v>
      </c>
      <c r="I51" s="605">
        <v>36</v>
      </c>
      <c r="J51" s="605">
        <v>36</v>
      </c>
      <c r="K51" s="605">
        <v>36</v>
      </c>
      <c r="L51" s="834">
        <v>0</v>
      </c>
      <c r="M51" s="834">
        <v>0</v>
      </c>
      <c r="N51" s="834">
        <v>0</v>
      </c>
      <c r="X51" s="803"/>
      <c r="Y51" s="803"/>
      <c r="Z51" s="803"/>
      <c r="AA51" s="803"/>
    </row>
    <row r="52" spans="2:27" ht="48.75" customHeight="1" x14ac:dyDescent="0.25">
      <c r="B52" s="823" t="s">
        <v>374</v>
      </c>
      <c r="C52" s="607" t="s">
        <v>63</v>
      </c>
      <c r="D52" s="821">
        <v>69213</v>
      </c>
      <c r="E52" s="605" t="s">
        <v>1069</v>
      </c>
      <c r="F52" s="819" t="s">
        <v>1172</v>
      </c>
      <c r="G52" s="605" t="s">
        <v>187</v>
      </c>
      <c r="H52" s="821" t="s">
        <v>241</v>
      </c>
      <c r="I52" s="605">
        <v>95</v>
      </c>
      <c r="J52" s="605">
        <v>95</v>
      </c>
      <c r="K52" s="605">
        <v>95</v>
      </c>
      <c r="L52" s="834">
        <v>0</v>
      </c>
      <c r="M52" s="834">
        <v>0</v>
      </c>
      <c r="N52" s="834">
        <v>0</v>
      </c>
      <c r="X52" s="803"/>
      <c r="Y52" s="803"/>
      <c r="Z52" s="803"/>
      <c r="AA52" s="803"/>
    </row>
    <row r="53" spans="2:27" ht="48.75" customHeight="1" x14ac:dyDescent="0.25">
      <c r="B53" s="823" t="s">
        <v>374</v>
      </c>
      <c r="C53" s="607" t="s">
        <v>63</v>
      </c>
      <c r="D53" s="821">
        <v>69213</v>
      </c>
      <c r="E53" s="605" t="s">
        <v>1076</v>
      </c>
      <c r="F53" s="819" t="s">
        <v>1172</v>
      </c>
      <c r="G53" s="605" t="s">
        <v>187</v>
      </c>
      <c r="H53" s="821" t="s">
        <v>241</v>
      </c>
      <c r="I53" s="605">
        <v>25</v>
      </c>
      <c r="J53" s="605">
        <v>25</v>
      </c>
      <c r="K53" s="605">
        <v>25</v>
      </c>
      <c r="L53" s="834">
        <v>0</v>
      </c>
      <c r="M53" s="834">
        <v>0</v>
      </c>
      <c r="N53" s="834">
        <v>0</v>
      </c>
      <c r="X53" s="803"/>
      <c r="Y53" s="803"/>
      <c r="Z53" s="803"/>
      <c r="AA53" s="803"/>
    </row>
    <row r="54" spans="2:27" ht="14.25" customHeight="1" x14ac:dyDescent="0.25">
      <c r="B54" s="823" t="s">
        <v>374</v>
      </c>
      <c r="C54" s="607" t="s">
        <v>63</v>
      </c>
      <c r="D54" s="821">
        <v>69213</v>
      </c>
      <c r="E54" s="605" t="s">
        <v>192</v>
      </c>
      <c r="F54" s="819" t="s">
        <v>635</v>
      </c>
      <c r="G54" s="605" t="s">
        <v>116</v>
      </c>
      <c r="H54" s="821" t="s">
        <v>116</v>
      </c>
      <c r="I54" s="605" t="s">
        <v>116</v>
      </c>
      <c r="J54" s="605" t="s">
        <v>116</v>
      </c>
      <c r="K54" s="605" t="s">
        <v>116</v>
      </c>
      <c r="L54" s="834">
        <v>8900.34</v>
      </c>
      <c r="M54" s="834">
        <v>8900.34</v>
      </c>
      <c r="N54" s="834">
        <v>8900.34</v>
      </c>
      <c r="O54" s="834">
        <v>10023.6</v>
      </c>
      <c r="P54" s="834">
        <v>10023.6</v>
      </c>
      <c r="Q54" s="834">
        <v>10023.6</v>
      </c>
      <c r="R54" s="834">
        <v>10023.6</v>
      </c>
      <c r="S54" s="834">
        <v>10023.6</v>
      </c>
      <c r="T54" s="834">
        <v>10023.6</v>
      </c>
      <c r="U54" s="834">
        <v>10023.6</v>
      </c>
      <c r="V54" s="834">
        <v>10023.6</v>
      </c>
      <c r="W54" s="834">
        <v>10023.6</v>
      </c>
      <c r="X54" s="803"/>
      <c r="Y54" s="803"/>
      <c r="Z54" s="803"/>
      <c r="AA54" s="803"/>
    </row>
    <row r="55" spans="2:27" ht="51" customHeight="1" x14ac:dyDescent="0.25">
      <c r="B55" s="849" t="s">
        <v>374</v>
      </c>
      <c r="C55" s="849" t="s">
        <v>63</v>
      </c>
      <c r="D55" s="851">
        <v>69214</v>
      </c>
      <c r="E55" s="851" t="s">
        <v>116</v>
      </c>
      <c r="F55" s="860" t="s">
        <v>1090</v>
      </c>
      <c r="G55" s="850" t="s">
        <v>187</v>
      </c>
      <c r="H55" s="851" t="s">
        <v>116</v>
      </c>
      <c r="I55" s="850">
        <f>I56+I57+I58+I59+I60+I61</f>
        <v>574</v>
      </c>
      <c r="J55" s="850">
        <f>J56+J57+J58+J59+J60+J61</f>
        <v>574</v>
      </c>
      <c r="K55" s="850">
        <f>K56+K57+K58+K59+K60+K61</f>
        <v>574</v>
      </c>
      <c r="L55" s="852">
        <f>L56+L57+L58+L59+L60+L61+L62</f>
        <v>29723.7</v>
      </c>
      <c r="M55" s="852">
        <f t="shared" ref="M55:W55" si="1">M56+M57+M58+M59+M60+M61+M62</f>
        <v>29723.7</v>
      </c>
      <c r="N55" s="852">
        <f t="shared" si="1"/>
        <v>29723.7</v>
      </c>
      <c r="O55" s="699">
        <f t="shared" si="1"/>
        <v>10362.84</v>
      </c>
      <c r="P55" s="699">
        <f t="shared" si="1"/>
        <v>10362.84</v>
      </c>
      <c r="Q55" s="699">
        <f t="shared" si="1"/>
        <v>10362.84</v>
      </c>
      <c r="R55" s="699">
        <f t="shared" si="1"/>
        <v>10362.84</v>
      </c>
      <c r="S55" s="699">
        <f t="shared" si="1"/>
        <v>10362.84</v>
      </c>
      <c r="T55" s="699">
        <f t="shared" si="1"/>
        <v>10362.84</v>
      </c>
      <c r="U55" s="699">
        <f t="shared" si="1"/>
        <v>10362.84</v>
      </c>
      <c r="V55" s="699">
        <f t="shared" si="1"/>
        <v>10362.84</v>
      </c>
      <c r="W55" s="699">
        <f t="shared" si="1"/>
        <v>10362.84</v>
      </c>
      <c r="X55" s="812"/>
      <c r="Y55" s="812"/>
      <c r="Z55" s="803"/>
      <c r="AA55" s="803"/>
    </row>
    <row r="56" spans="2:27" ht="51" customHeight="1" x14ac:dyDescent="0.25">
      <c r="B56" s="607" t="s">
        <v>374</v>
      </c>
      <c r="C56" s="607" t="s">
        <v>63</v>
      </c>
      <c r="D56" s="821">
        <v>69214</v>
      </c>
      <c r="E56" s="605" t="s">
        <v>1070</v>
      </c>
      <c r="F56" s="824" t="s">
        <v>1090</v>
      </c>
      <c r="G56" s="605" t="s">
        <v>187</v>
      </c>
      <c r="H56" s="605" t="s">
        <v>241</v>
      </c>
      <c r="I56" s="605">
        <v>52</v>
      </c>
      <c r="J56" s="605">
        <v>52</v>
      </c>
      <c r="K56" s="605">
        <v>52</v>
      </c>
      <c r="L56" s="834">
        <v>1333.62</v>
      </c>
      <c r="M56" s="834">
        <v>1333.62</v>
      </c>
      <c r="N56" s="834">
        <v>1333.62</v>
      </c>
      <c r="X56" s="803"/>
      <c r="Y56" s="803"/>
      <c r="Z56" s="805"/>
      <c r="AA56" s="803"/>
    </row>
    <row r="57" spans="2:27" ht="46.5" customHeight="1" x14ac:dyDescent="0.25">
      <c r="B57" s="607" t="s">
        <v>374</v>
      </c>
      <c r="C57" s="607" t="s">
        <v>63</v>
      </c>
      <c r="D57" s="821">
        <v>69214</v>
      </c>
      <c r="E57" s="605" t="s">
        <v>1082</v>
      </c>
      <c r="F57" s="824" t="s">
        <v>1090</v>
      </c>
      <c r="G57" s="605" t="s">
        <v>187</v>
      </c>
      <c r="H57" s="605" t="s">
        <v>241</v>
      </c>
      <c r="I57" s="605">
        <v>94</v>
      </c>
      <c r="J57" s="605">
        <v>94</v>
      </c>
      <c r="K57" s="605">
        <v>94</v>
      </c>
      <c r="L57" s="834">
        <v>6448.42</v>
      </c>
      <c r="M57" s="834">
        <v>6448.42</v>
      </c>
      <c r="N57" s="834">
        <v>6448.42</v>
      </c>
      <c r="X57" s="803"/>
      <c r="Y57" s="803"/>
      <c r="Z57" s="803"/>
      <c r="AA57" s="803"/>
    </row>
    <row r="58" spans="2:27" ht="76.5" customHeight="1" x14ac:dyDescent="0.25">
      <c r="B58" s="607" t="s">
        <v>374</v>
      </c>
      <c r="C58" s="607" t="s">
        <v>63</v>
      </c>
      <c r="D58" s="821">
        <v>69214</v>
      </c>
      <c r="E58" s="915" t="s">
        <v>1067</v>
      </c>
      <c r="F58" s="824" t="s">
        <v>1090</v>
      </c>
      <c r="G58" s="605" t="s">
        <v>187</v>
      </c>
      <c r="H58" s="605" t="s">
        <v>241</v>
      </c>
      <c r="I58" s="605">
        <v>69</v>
      </c>
      <c r="J58" s="605">
        <v>69</v>
      </c>
      <c r="K58" s="605">
        <v>69</v>
      </c>
      <c r="L58" s="834">
        <v>5028.3900000000003</v>
      </c>
      <c r="M58" s="834">
        <v>5028.3900000000003</v>
      </c>
      <c r="N58" s="834">
        <v>5028.3900000000003</v>
      </c>
      <c r="X58" s="803"/>
      <c r="Y58" s="803"/>
      <c r="Z58" s="803"/>
      <c r="AA58" s="803"/>
    </row>
    <row r="59" spans="2:27" ht="48.75" customHeight="1" x14ac:dyDescent="0.25">
      <c r="B59" s="607" t="s">
        <v>374</v>
      </c>
      <c r="C59" s="607" t="s">
        <v>63</v>
      </c>
      <c r="D59" s="821">
        <v>69214</v>
      </c>
      <c r="E59" s="605" t="s">
        <v>1073</v>
      </c>
      <c r="F59" s="824" t="s">
        <v>1090</v>
      </c>
      <c r="G59" s="605" t="s">
        <v>187</v>
      </c>
      <c r="H59" s="605" t="s">
        <v>241</v>
      </c>
      <c r="I59" s="605">
        <v>50</v>
      </c>
      <c r="J59" s="605">
        <v>50</v>
      </c>
      <c r="K59" s="605">
        <v>50</v>
      </c>
      <c r="L59" s="834">
        <v>2941.63</v>
      </c>
      <c r="M59" s="834">
        <v>2941.63</v>
      </c>
      <c r="N59" s="834">
        <v>2941.63</v>
      </c>
      <c r="X59" s="803"/>
      <c r="Y59" s="803"/>
      <c r="Z59" s="803"/>
      <c r="AA59" s="803"/>
    </row>
    <row r="60" spans="2:27" ht="52.5" customHeight="1" x14ac:dyDescent="0.25">
      <c r="B60" s="607" t="s">
        <v>374</v>
      </c>
      <c r="C60" s="607" t="s">
        <v>63</v>
      </c>
      <c r="D60" s="821">
        <v>69214</v>
      </c>
      <c r="E60" s="605" t="s">
        <v>1069</v>
      </c>
      <c r="F60" s="824" t="s">
        <v>1090</v>
      </c>
      <c r="G60" s="605" t="s">
        <v>187</v>
      </c>
      <c r="H60" s="605" t="s">
        <v>241</v>
      </c>
      <c r="I60" s="605">
        <v>182</v>
      </c>
      <c r="J60" s="605">
        <v>182</v>
      </c>
      <c r="K60" s="605">
        <v>182</v>
      </c>
      <c r="L60" s="834">
        <v>3430.84</v>
      </c>
      <c r="M60" s="834">
        <v>3430.84</v>
      </c>
      <c r="N60" s="834">
        <v>3430.84</v>
      </c>
      <c r="X60" s="803"/>
      <c r="Y60" s="803"/>
      <c r="Z60" s="803"/>
      <c r="AA60" s="803"/>
    </row>
    <row r="61" spans="2:27" ht="54.75" customHeight="1" x14ac:dyDescent="0.25">
      <c r="B61" s="607" t="s">
        <v>374</v>
      </c>
      <c r="C61" s="607" t="s">
        <v>63</v>
      </c>
      <c r="D61" s="821">
        <v>69214</v>
      </c>
      <c r="E61" s="605" t="s">
        <v>1068</v>
      </c>
      <c r="F61" s="824" t="s">
        <v>1090</v>
      </c>
      <c r="G61" s="605" t="s">
        <v>187</v>
      </c>
      <c r="H61" s="605" t="s">
        <v>241</v>
      </c>
      <c r="I61" s="605">
        <v>127</v>
      </c>
      <c r="J61" s="605">
        <v>127</v>
      </c>
      <c r="K61" s="605">
        <v>127</v>
      </c>
      <c r="L61" s="834">
        <v>10362.84</v>
      </c>
      <c r="M61" s="834">
        <v>10362.84</v>
      </c>
      <c r="N61" s="834">
        <v>10362.84</v>
      </c>
      <c r="O61" s="834">
        <v>10362.84</v>
      </c>
      <c r="P61" s="834">
        <v>10362.84</v>
      </c>
      <c r="Q61" s="834">
        <v>10362.84</v>
      </c>
      <c r="R61" s="834">
        <v>10362.84</v>
      </c>
      <c r="S61" s="834">
        <v>10362.84</v>
      </c>
      <c r="T61" s="834">
        <v>10362.84</v>
      </c>
      <c r="U61" s="834">
        <v>10362.84</v>
      </c>
      <c r="V61" s="834">
        <v>10362.84</v>
      </c>
      <c r="W61" s="834">
        <v>10362.84</v>
      </c>
      <c r="X61" s="803"/>
      <c r="Y61" s="803"/>
      <c r="Z61" s="803"/>
      <c r="AA61" s="803"/>
    </row>
    <row r="62" spans="2:27" ht="46.5" customHeight="1" x14ac:dyDescent="0.25">
      <c r="B62" s="607" t="s">
        <v>374</v>
      </c>
      <c r="C62" s="607" t="s">
        <v>63</v>
      </c>
      <c r="D62" s="821">
        <v>69214</v>
      </c>
      <c r="E62" s="605" t="s">
        <v>192</v>
      </c>
      <c r="F62" s="819" t="s">
        <v>635</v>
      </c>
      <c r="G62" s="605" t="s">
        <v>187</v>
      </c>
      <c r="H62" s="605" t="s">
        <v>241</v>
      </c>
      <c r="I62" s="605" t="s">
        <v>116</v>
      </c>
      <c r="J62" s="605" t="s">
        <v>116</v>
      </c>
      <c r="K62" s="605" t="s">
        <v>116</v>
      </c>
      <c r="L62" s="834">
        <v>177.96</v>
      </c>
      <c r="M62" s="834">
        <v>177.96</v>
      </c>
      <c r="N62" s="834">
        <v>177.96</v>
      </c>
    </row>
    <row r="63" spans="2:27" ht="75" customHeight="1" x14ac:dyDescent="0.25">
      <c r="B63" s="836" t="s">
        <v>374</v>
      </c>
      <c r="C63" s="843" t="s">
        <v>63</v>
      </c>
      <c r="D63" s="862">
        <v>69221</v>
      </c>
      <c r="E63" s="862" t="s">
        <v>116</v>
      </c>
      <c r="F63" s="863" t="s">
        <v>1160</v>
      </c>
      <c r="G63" s="842" t="s">
        <v>1238</v>
      </c>
      <c r="H63" s="842" t="s">
        <v>240</v>
      </c>
      <c r="I63" s="843" t="s">
        <v>1239</v>
      </c>
      <c r="J63" s="862">
        <v>12</v>
      </c>
      <c r="K63" s="843" t="s">
        <v>1266</v>
      </c>
      <c r="L63" s="839">
        <f>SUM(L64:L120)</f>
        <v>62244.23</v>
      </c>
      <c r="M63" s="839">
        <f>SUM(M64:M120)</f>
        <v>40739.01</v>
      </c>
      <c r="N63" s="839">
        <f>SUM(N64:N120)</f>
        <v>41844.119999999995</v>
      </c>
      <c r="X63" s="917"/>
      <c r="Y63" s="916"/>
      <c r="Z63" s="917"/>
    </row>
    <row r="64" spans="2:27" s="48" customFormat="1" ht="33.75" customHeight="1" x14ac:dyDescent="0.25">
      <c r="B64" s="1372" t="s">
        <v>374</v>
      </c>
      <c r="C64" s="1372" t="s">
        <v>63</v>
      </c>
      <c r="D64" s="1370">
        <v>69221</v>
      </c>
      <c r="E64" s="1370" t="s">
        <v>1068</v>
      </c>
      <c r="F64" s="820" t="s">
        <v>1099</v>
      </c>
      <c r="G64" s="605" t="s">
        <v>1236</v>
      </c>
      <c r="H64" s="826" t="s">
        <v>240</v>
      </c>
      <c r="I64" s="825" t="s">
        <v>468</v>
      </c>
      <c r="J64" s="882">
        <v>1</v>
      </c>
      <c r="K64" s="825" t="s">
        <v>468</v>
      </c>
      <c r="L64" s="834">
        <v>0</v>
      </c>
      <c r="M64" s="834">
        <v>600</v>
      </c>
      <c r="N64" s="834">
        <v>0</v>
      </c>
      <c r="X64" s="916"/>
      <c r="Y64" s="916"/>
      <c r="Z64" s="916"/>
    </row>
    <row r="65" spans="2:26" s="48" customFormat="1" ht="30" customHeight="1" x14ac:dyDescent="0.25">
      <c r="B65" s="1373"/>
      <c r="C65" s="1373"/>
      <c r="D65" s="1371"/>
      <c r="E65" s="1371"/>
      <c r="F65" s="820" t="s">
        <v>1100</v>
      </c>
      <c r="G65" s="605" t="s">
        <v>1236</v>
      </c>
      <c r="H65" s="826" t="s">
        <v>240</v>
      </c>
      <c r="I65" s="825" t="s">
        <v>468</v>
      </c>
      <c r="J65" s="882">
        <v>1</v>
      </c>
      <c r="K65" s="825" t="s">
        <v>468</v>
      </c>
      <c r="L65" s="834">
        <v>0</v>
      </c>
      <c r="M65" s="834">
        <v>300</v>
      </c>
      <c r="N65" s="834">
        <v>0</v>
      </c>
      <c r="X65" s="916"/>
      <c r="Y65" s="916"/>
      <c r="Z65" s="916"/>
    </row>
    <row r="66" spans="2:26" s="48" customFormat="1" ht="30.75" customHeight="1" x14ac:dyDescent="0.25">
      <c r="B66" s="1373"/>
      <c r="C66" s="1373"/>
      <c r="D66" s="1371"/>
      <c r="E66" s="1371"/>
      <c r="F66" s="819" t="s">
        <v>1101</v>
      </c>
      <c r="G66" s="605" t="s">
        <v>1236</v>
      </c>
      <c r="H66" s="605" t="s">
        <v>240</v>
      </c>
      <c r="I66" s="607" t="s">
        <v>468</v>
      </c>
      <c r="J66" s="821">
        <v>1</v>
      </c>
      <c r="K66" s="607" t="s">
        <v>468</v>
      </c>
      <c r="L66" s="834">
        <v>0</v>
      </c>
      <c r="M66" s="834">
        <v>1900</v>
      </c>
      <c r="N66" s="834">
        <v>0</v>
      </c>
      <c r="X66" s="916"/>
      <c r="Y66" s="916"/>
      <c r="Z66" s="916"/>
    </row>
    <row r="67" spans="2:26" s="48" customFormat="1" ht="33.75" customHeight="1" x14ac:dyDescent="0.25">
      <c r="B67" s="1377"/>
      <c r="C67" s="1377"/>
      <c r="D67" s="1376"/>
      <c r="E67" s="1376"/>
      <c r="F67" s="819" t="s">
        <v>1125</v>
      </c>
      <c r="G67" s="605" t="s">
        <v>1236</v>
      </c>
      <c r="H67" s="605" t="s">
        <v>240</v>
      </c>
      <c r="I67" s="607" t="s">
        <v>468</v>
      </c>
      <c r="J67" s="821">
        <v>0</v>
      </c>
      <c r="K67" s="607" t="s">
        <v>263</v>
      </c>
      <c r="L67" s="834">
        <v>0</v>
      </c>
      <c r="M67" s="834">
        <v>0</v>
      </c>
      <c r="N67" s="834">
        <v>3000</v>
      </c>
      <c r="X67" s="916"/>
      <c r="Y67" s="916"/>
      <c r="Z67" s="916"/>
    </row>
    <row r="68" spans="2:26" s="48" customFormat="1" ht="44.25" customHeight="1" x14ac:dyDescent="0.25">
      <c r="B68" s="1372" t="s">
        <v>374</v>
      </c>
      <c r="C68" s="1365" t="s">
        <v>63</v>
      </c>
      <c r="D68" s="1375">
        <v>69221</v>
      </c>
      <c r="E68" s="1375" t="s">
        <v>1067</v>
      </c>
      <c r="F68" s="819" t="s">
        <v>1225</v>
      </c>
      <c r="G68" s="605" t="s">
        <v>1237</v>
      </c>
      <c r="H68" s="605" t="s">
        <v>240</v>
      </c>
      <c r="I68" s="607" t="s">
        <v>263</v>
      </c>
      <c r="J68" s="884">
        <v>0</v>
      </c>
      <c r="K68" s="607" t="s">
        <v>468</v>
      </c>
      <c r="L68" s="834">
        <v>90</v>
      </c>
      <c r="M68" s="834">
        <v>0</v>
      </c>
      <c r="N68" s="834">
        <v>0</v>
      </c>
      <c r="X68" s="916"/>
      <c r="Y68" s="916"/>
      <c r="Z68" s="916"/>
    </row>
    <row r="69" spans="2:26" s="48" customFormat="1" ht="52.5" customHeight="1" x14ac:dyDescent="0.25">
      <c r="B69" s="1373"/>
      <c r="C69" s="1365"/>
      <c r="D69" s="1375"/>
      <c r="E69" s="1375"/>
      <c r="F69" s="819" t="s">
        <v>1226</v>
      </c>
      <c r="G69" s="605" t="s">
        <v>1236</v>
      </c>
      <c r="H69" s="605" t="s">
        <v>240</v>
      </c>
      <c r="I69" s="607" t="s">
        <v>263</v>
      </c>
      <c r="J69" s="884">
        <v>0</v>
      </c>
      <c r="K69" s="607" t="s">
        <v>468</v>
      </c>
      <c r="L69" s="834">
        <v>9173.9599999999991</v>
      </c>
      <c r="M69" s="834">
        <v>0</v>
      </c>
      <c r="N69" s="834">
        <v>0</v>
      </c>
      <c r="X69" s="916"/>
      <c r="Y69" s="916"/>
      <c r="Z69" s="916"/>
    </row>
    <row r="70" spans="2:26" s="48" customFormat="1" ht="33.75" customHeight="1" x14ac:dyDescent="0.25">
      <c r="B70" s="1373"/>
      <c r="C70" s="1365"/>
      <c r="D70" s="1375"/>
      <c r="E70" s="1375"/>
      <c r="F70" s="819" t="s">
        <v>1227</v>
      </c>
      <c r="G70" s="605" t="s">
        <v>1236</v>
      </c>
      <c r="H70" s="605" t="s">
        <v>240</v>
      </c>
      <c r="I70" s="607" t="s">
        <v>468</v>
      </c>
      <c r="J70" s="884">
        <v>1</v>
      </c>
      <c r="K70" s="607" t="s">
        <v>263</v>
      </c>
      <c r="L70" s="834">
        <v>0</v>
      </c>
      <c r="M70" s="834">
        <v>1000</v>
      </c>
      <c r="N70" s="834">
        <v>1200</v>
      </c>
      <c r="X70" s="916"/>
      <c r="Y70" s="916"/>
      <c r="Z70" s="916"/>
    </row>
    <row r="71" spans="2:26" s="48" customFormat="1" ht="99" customHeight="1" x14ac:dyDescent="0.25">
      <c r="B71" s="1377"/>
      <c r="C71" s="1365"/>
      <c r="D71" s="1375"/>
      <c r="E71" s="1375"/>
      <c r="F71" s="819" t="s">
        <v>1126</v>
      </c>
      <c r="G71" s="605" t="s">
        <v>1240</v>
      </c>
      <c r="H71" s="605" t="s">
        <v>240</v>
      </c>
      <c r="I71" s="607" t="s">
        <v>468</v>
      </c>
      <c r="J71" s="884">
        <v>0</v>
      </c>
      <c r="K71" s="607" t="s">
        <v>263</v>
      </c>
      <c r="L71" s="834">
        <v>0</v>
      </c>
      <c r="M71" s="834">
        <v>0</v>
      </c>
      <c r="N71" s="834">
        <v>1900</v>
      </c>
      <c r="X71" s="916"/>
      <c r="Y71" s="916"/>
      <c r="Z71" s="916"/>
    </row>
    <row r="72" spans="2:26" s="48" customFormat="1" ht="23.25" customHeight="1" x14ac:dyDescent="0.25">
      <c r="B72" s="1372" t="s">
        <v>374</v>
      </c>
      <c r="C72" s="1365" t="s">
        <v>63</v>
      </c>
      <c r="D72" s="1375">
        <v>69221</v>
      </c>
      <c r="E72" s="1375" t="s">
        <v>1071</v>
      </c>
      <c r="F72" s="819" t="s">
        <v>760</v>
      </c>
      <c r="G72" s="605" t="s">
        <v>1236</v>
      </c>
      <c r="H72" s="605" t="s">
        <v>240</v>
      </c>
      <c r="I72" s="607" t="s">
        <v>468</v>
      </c>
      <c r="J72" s="821">
        <v>1</v>
      </c>
      <c r="K72" s="607" t="s">
        <v>468</v>
      </c>
      <c r="L72" s="834">
        <v>0</v>
      </c>
      <c r="M72" s="834">
        <v>1000</v>
      </c>
      <c r="N72" s="834">
        <v>0</v>
      </c>
      <c r="X72" s="916"/>
      <c r="Y72" s="916"/>
      <c r="Z72" s="916"/>
    </row>
    <row r="73" spans="2:26" s="48" customFormat="1" ht="29.25" customHeight="1" x14ac:dyDescent="0.25">
      <c r="B73" s="1373"/>
      <c r="C73" s="1365"/>
      <c r="D73" s="1375"/>
      <c r="E73" s="1375"/>
      <c r="F73" s="819" t="s">
        <v>1292</v>
      </c>
      <c r="G73" s="605" t="s">
        <v>1236</v>
      </c>
      <c r="H73" s="605" t="s">
        <v>240</v>
      </c>
      <c r="I73" s="607" t="s">
        <v>468</v>
      </c>
      <c r="J73" s="821">
        <v>1</v>
      </c>
      <c r="K73" s="607" t="s">
        <v>468</v>
      </c>
      <c r="L73" s="834">
        <v>0</v>
      </c>
      <c r="M73" s="834">
        <v>700</v>
      </c>
      <c r="N73" s="834">
        <v>0</v>
      </c>
      <c r="X73" s="916"/>
      <c r="Y73" s="916"/>
      <c r="Z73" s="916"/>
    </row>
    <row r="74" spans="2:26" s="48" customFormat="1" ht="28.5" customHeight="1" x14ac:dyDescent="0.25">
      <c r="B74" s="1373"/>
      <c r="C74" s="1365"/>
      <c r="D74" s="1375"/>
      <c r="E74" s="1375"/>
      <c r="F74" s="819" t="s">
        <v>1173</v>
      </c>
      <c r="G74" s="605" t="s">
        <v>190</v>
      </c>
      <c r="H74" s="605" t="s">
        <v>240</v>
      </c>
      <c r="I74" s="607" t="s">
        <v>468</v>
      </c>
      <c r="J74" s="821">
        <v>1</v>
      </c>
      <c r="K74" s="607" t="s">
        <v>263</v>
      </c>
      <c r="L74" s="834">
        <v>0</v>
      </c>
      <c r="M74" s="834">
        <v>500</v>
      </c>
      <c r="N74" s="834">
        <v>500</v>
      </c>
      <c r="X74" s="916"/>
      <c r="Y74" s="916"/>
      <c r="Z74" s="916"/>
    </row>
    <row r="75" spans="2:26" s="48" customFormat="1" ht="36.75" customHeight="1" x14ac:dyDescent="0.25">
      <c r="B75" s="1373"/>
      <c r="C75" s="1365"/>
      <c r="D75" s="1375"/>
      <c r="E75" s="1375"/>
      <c r="F75" s="819" t="s">
        <v>1293</v>
      </c>
      <c r="G75" s="605" t="s">
        <v>1241</v>
      </c>
      <c r="H75" s="605" t="s">
        <v>240</v>
      </c>
      <c r="I75" s="607" t="s">
        <v>468</v>
      </c>
      <c r="J75" s="821">
        <v>1</v>
      </c>
      <c r="K75" s="607" t="s">
        <v>468</v>
      </c>
      <c r="L75" s="834">
        <v>0</v>
      </c>
      <c r="M75" s="834">
        <v>359.99</v>
      </c>
      <c r="N75" s="834">
        <v>0</v>
      </c>
      <c r="X75" s="916"/>
      <c r="Y75" s="916"/>
      <c r="Z75" s="916"/>
    </row>
    <row r="76" spans="2:26" s="48" customFormat="1" ht="29.25" customHeight="1" x14ac:dyDescent="0.25">
      <c r="B76" s="1377"/>
      <c r="C76" s="1365"/>
      <c r="D76" s="1375"/>
      <c r="E76" s="1375"/>
      <c r="F76" s="819" t="s">
        <v>1294</v>
      </c>
      <c r="G76" s="605" t="s">
        <v>1242</v>
      </c>
      <c r="H76" s="605" t="s">
        <v>240</v>
      </c>
      <c r="I76" s="607" t="s">
        <v>263</v>
      </c>
      <c r="J76" s="821">
        <v>0</v>
      </c>
      <c r="K76" s="607" t="s">
        <v>468</v>
      </c>
      <c r="L76" s="834">
        <v>1485</v>
      </c>
      <c r="M76" s="834">
        <v>0</v>
      </c>
      <c r="N76" s="834">
        <v>0</v>
      </c>
      <c r="X76" s="916"/>
      <c r="Y76" s="916"/>
      <c r="Z76" s="916"/>
    </row>
    <row r="77" spans="2:26" s="48" customFormat="1" ht="32.25" customHeight="1" x14ac:dyDescent="0.25">
      <c r="B77" s="1372" t="s">
        <v>374</v>
      </c>
      <c r="C77" s="1365" t="s">
        <v>63</v>
      </c>
      <c r="D77" s="1375">
        <v>69221</v>
      </c>
      <c r="E77" s="1375" t="s">
        <v>1085</v>
      </c>
      <c r="F77" s="819" t="s">
        <v>1127</v>
      </c>
      <c r="G77" s="605" t="s">
        <v>1236</v>
      </c>
      <c r="H77" s="605" t="s">
        <v>240</v>
      </c>
      <c r="I77" s="607" t="s">
        <v>468</v>
      </c>
      <c r="J77" s="821">
        <v>1</v>
      </c>
      <c r="K77" s="607" t="s">
        <v>468</v>
      </c>
      <c r="L77" s="834">
        <v>0</v>
      </c>
      <c r="M77" s="834">
        <v>450</v>
      </c>
      <c r="N77" s="834">
        <v>0</v>
      </c>
      <c r="X77" s="916"/>
      <c r="Y77" s="916"/>
      <c r="Z77" s="916"/>
    </row>
    <row r="78" spans="2:26" s="48" customFormat="1" ht="39" customHeight="1" x14ac:dyDescent="0.25">
      <c r="B78" s="1373"/>
      <c r="C78" s="1365"/>
      <c r="D78" s="1375"/>
      <c r="E78" s="1375"/>
      <c r="F78" s="819" t="s">
        <v>1128</v>
      </c>
      <c r="G78" s="605" t="s">
        <v>1236</v>
      </c>
      <c r="H78" s="605" t="s">
        <v>240</v>
      </c>
      <c r="I78" s="607" t="s">
        <v>468</v>
      </c>
      <c r="J78" s="821">
        <v>1</v>
      </c>
      <c r="K78" s="607" t="s">
        <v>468</v>
      </c>
      <c r="L78" s="834">
        <v>0</v>
      </c>
      <c r="M78" s="834">
        <v>900</v>
      </c>
      <c r="N78" s="834">
        <v>0</v>
      </c>
      <c r="X78" s="916"/>
      <c r="Y78" s="916"/>
      <c r="Z78" s="916"/>
    </row>
    <row r="79" spans="2:26" s="48" customFormat="1" ht="32.25" customHeight="1" x14ac:dyDescent="0.25">
      <c r="B79" s="1377"/>
      <c r="C79" s="1365"/>
      <c r="D79" s="1375"/>
      <c r="E79" s="1375"/>
      <c r="F79" s="819" t="s">
        <v>1295</v>
      </c>
      <c r="G79" s="605" t="s">
        <v>1236</v>
      </c>
      <c r="H79" s="605" t="s">
        <v>240</v>
      </c>
      <c r="I79" s="607" t="s">
        <v>468</v>
      </c>
      <c r="J79" s="821">
        <v>0</v>
      </c>
      <c r="K79" s="607" t="s">
        <v>263</v>
      </c>
      <c r="L79" s="834">
        <v>0</v>
      </c>
      <c r="M79" s="834">
        <v>0</v>
      </c>
      <c r="N79" s="834">
        <v>1000</v>
      </c>
      <c r="X79" s="916"/>
      <c r="Y79" s="916"/>
      <c r="Z79" s="916"/>
    </row>
    <row r="80" spans="2:26" s="48" customFormat="1" ht="30" customHeight="1" x14ac:dyDescent="0.25">
      <c r="B80" s="1372" t="s">
        <v>374</v>
      </c>
      <c r="C80" s="1365" t="s">
        <v>63</v>
      </c>
      <c r="D80" s="1375">
        <v>69221</v>
      </c>
      <c r="E80" s="1375" t="s">
        <v>1129</v>
      </c>
      <c r="F80" s="819" t="s">
        <v>1296</v>
      </c>
      <c r="G80" s="605" t="s">
        <v>1236</v>
      </c>
      <c r="H80" s="605" t="s">
        <v>240</v>
      </c>
      <c r="I80" s="607" t="s">
        <v>468</v>
      </c>
      <c r="J80" s="821">
        <v>0</v>
      </c>
      <c r="K80" s="607" t="s">
        <v>263</v>
      </c>
      <c r="L80" s="834">
        <v>0</v>
      </c>
      <c r="M80" s="834">
        <v>0</v>
      </c>
      <c r="N80" s="834">
        <v>600</v>
      </c>
      <c r="X80" s="916"/>
      <c r="Y80" s="916"/>
      <c r="Z80" s="916"/>
    </row>
    <row r="81" spans="2:26" s="48" customFormat="1" ht="33.75" customHeight="1" x14ac:dyDescent="0.25">
      <c r="B81" s="1373"/>
      <c r="C81" s="1365"/>
      <c r="D81" s="1375"/>
      <c r="E81" s="1375"/>
      <c r="F81" s="819" t="s">
        <v>1130</v>
      </c>
      <c r="G81" s="605" t="s">
        <v>1236</v>
      </c>
      <c r="H81" s="605" t="s">
        <v>240</v>
      </c>
      <c r="I81" s="607" t="s">
        <v>468</v>
      </c>
      <c r="J81" s="821">
        <v>0</v>
      </c>
      <c r="K81" s="607" t="s">
        <v>263</v>
      </c>
      <c r="L81" s="834">
        <v>0</v>
      </c>
      <c r="M81" s="834">
        <v>0</v>
      </c>
      <c r="N81" s="834">
        <v>1100</v>
      </c>
      <c r="X81" s="916"/>
      <c r="Y81" s="916"/>
      <c r="Z81" s="916"/>
    </row>
    <row r="82" spans="2:26" s="48" customFormat="1" ht="32.25" customHeight="1" x14ac:dyDescent="0.25">
      <c r="B82" s="1373"/>
      <c r="C82" s="1365"/>
      <c r="D82" s="1375"/>
      <c r="E82" s="1375"/>
      <c r="F82" s="819" t="s">
        <v>1174</v>
      </c>
      <c r="G82" s="605" t="s">
        <v>1242</v>
      </c>
      <c r="H82" s="605" t="s">
        <v>240</v>
      </c>
      <c r="I82" s="607" t="s">
        <v>468</v>
      </c>
      <c r="J82" s="821">
        <v>0</v>
      </c>
      <c r="K82" s="607" t="s">
        <v>263</v>
      </c>
      <c r="L82" s="834">
        <v>0</v>
      </c>
      <c r="M82" s="834">
        <v>0</v>
      </c>
      <c r="N82" s="834">
        <v>2000</v>
      </c>
      <c r="X82" s="916"/>
      <c r="Y82" s="916"/>
      <c r="Z82" s="916"/>
    </row>
    <row r="83" spans="2:26" s="48" customFormat="1" ht="27" customHeight="1" x14ac:dyDescent="0.25">
      <c r="B83" s="1373"/>
      <c r="C83" s="1365"/>
      <c r="D83" s="1375"/>
      <c r="E83" s="1375"/>
      <c r="F83" s="819" t="s">
        <v>1131</v>
      </c>
      <c r="G83" s="605" t="s">
        <v>1244</v>
      </c>
      <c r="H83" s="605" t="s">
        <v>240</v>
      </c>
      <c r="I83" s="607" t="s">
        <v>263</v>
      </c>
      <c r="J83" s="821">
        <v>0</v>
      </c>
      <c r="K83" s="607" t="s">
        <v>468</v>
      </c>
      <c r="L83" s="834">
        <v>600</v>
      </c>
      <c r="M83" s="834">
        <v>0</v>
      </c>
      <c r="N83" s="834">
        <v>0</v>
      </c>
      <c r="X83" s="916"/>
      <c r="Y83" s="916"/>
      <c r="Z83" s="916"/>
    </row>
    <row r="84" spans="2:26" s="48" customFormat="1" ht="36.75" customHeight="1" x14ac:dyDescent="0.25">
      <c r="B84" s="1377"/>
      <c r="C84" s="1365"/>
      <c r="D84" s="1375"/>
      <c r="E84" s="1375"/>
      <c r="F84" s="732" t="s">
        <v>1175</v>
      </c>
      <c r="G84" s="601" t="s">
        <v>1242</v>
      </c>
      <c r="H84" s="601" t="s">
        <v>240</v>
      </c>
      <c r="I84" s="602" t="s">
        <v>263</v>
      </c>
      <c r="J84" s="883">
        <v>0</v>
      </c>
      <c r="K84" s="602" t="s">
        <v>468</v>
      </c>
      <c r="L84" s="835">
        <v>886.8</v>
      </c>
      <c r="M84" s="835">
        <v>0</v>
      </c>
      <c r="N84" s="835">
        <v>0</v>
      </c>
      <c r="X84" s="916"/>
      <c r="Y84" s="916"/>
      <c r="Z84" s="916"/>
    </row>
    <row r="85" spans="2:26" s="48" customFormat="1" ht="40.5" customHeight="1" x14ac:dyDescent="0.25">
      <c r="B85" s="607" t="s">
        <v>374</v>
      </c>
      <c r="C85" s="607" t="s">
        <v>63</v>
      </c>
      <c r="D85" s="821">
        <v>69221</v>
      </c>
      <c r="E85" s="821" t="s">
        <v>1132</v>
      </c>
      <c r="F85" s="819" t="s">
        <v>1176</v>
      </c>
      <c r="G85" s="605" t="s">
        <v>1242</v>
      </c>
      <c r="H85" s="605" t="s">
        <v>240</v>
      </c>
      <c r="I85" s="607" t="s">
        <v>468</v>
      </c>
      <c r="J85" s="821">
        <v>1</v>
      </c>
      <c r="K85" s="607" t="s">
        <v>263</v>
      </c>
      <c r="L85" s="834">
        <v>0</v>
      </c>
      <c r="M85" s="834">
        <v>500</v>
      </c>
      <c r="N85" s="834">
        <v>2000</v>
      </c>
      <c r="X85" s="916"/>
      <c r="Y85" s="916"/>
      <c r="Z85" s="916"/>
    </row>
    <row r="86" spans="2:26" s="48" customFormat="1" ht="35.25" customHeight="1" x14ac:dyDescent="0.25">
      <c r="B86" s="1365" t="s">
        <v>374</v>
      </c>
      <c r="C86" s="1365" t="s">
        <v>63</v>
      </c>
      <c r="D86" s="1375">
        <v>69221</v>
      </c>
      <c r="E86" s="1375" t="s">
        <v>1083</v>
      </c>
      <c r="F86" s="819" t="s">
        <v>1227</v>
      </c>
      <c r="G86" s="605" t="s">
        <v>1236</v>
      </c>
      <c r="H86" s="605" t="s">
        <v>240</v>
      </c>
      <c r="I86" s="607" t="s">
        <v>468</v>
      </c>
      <c r="J86" s="821">
        <v>1</v>
      </c>
      <c r="K86" s="607" t="s">
        <v>468</v>
      </c>
      <c r="L86" s="834">
        <v>0</v>
      </c>
      <c r="M86" s="834">
        <v>1000</v>
      </c>
      <c r="N86" s="834">
        <v>0</v>
      </c>
      <c r="X86" s="916"/>
      <c r="Y86" s="916"/>
      <c r="Z86" s="916"/>
    </row>
    <row r="87" spans="2:26" s="48" customFormat="1" ht="26.25" customHeight="1" x14ac:dyDescent="0.25">
      <c r="B87" s="1365"/>
      <c r="C87" s="1365"/>
      <c r="D87" s="1375"/>
      <c r="E87" s="1375"/>
      <c r="F87" s="819" t="s">
        <v>1297</v>
      </c>
      <c r="G87" s="605" t="s">
        <v>1236</v>
      </c>
      <c r="H87" s="605" t="s">
        <v>240</v>
      </c>
      <c r="I87" s="607" t="s">
        <v>468</v>
      </c>
      <c r="J87" s="821">
        <v>1</v>
      </c>
      <c r="K87" s="607" t="s">
        <v>468</v>
      </c>
      <c r="L87" s="834">
        <v>0</v>
      </c>
      <c r="M87" s="834">
        <v>500</v>
      </c>
      <c r="N87" s="834">
        <v>0</v>
      </c>
      <c r="X87" s="916"/>
      <c r="Y87" s="916"/>
      <c r="Z87" s="916"/>
    </row>
    <row r="88" spans="2:26" s="48" customFormat="1" ht="34.5" customHeight="1" x14ac:dyDescent="0.25">
      <c r="B88" s="1365"/>
      <c r="C88" s="1365"/>
      <c r="D88" s="1375"/>
      <c r="E88" s="1375"/>
      <c r="F88" s="819" t="s">
        <v>1295</v>
      </c>
      <c r="G88" s="605" t="s">
        <v>1236</v>
      </c>
      <c r="H88" s="605" t="s">
        <v>240</v>
      </c>
      <c r="I88" s="607" t="s">
        <v>468</v>
      </c>
      <c r="J88" s="821">
        <v>0</v>
      </c>
      <c r="K88" s="607" t="s">
        <v>263</v>
      </c>
      <c r="L88" s="834">
        <v>0</v>
      </c>
      <c r="M88" s="834">
        <v>0</v>
      </c>
      <c r="N88" s="834">
        <v>200</v>
      </c>
      <c r="X88" s="916"/>
      <c r="Y88" s="916"/>
      <c r="Z88" s="916"/>
    </row>
    <row r="89" spans="2:26" s="48" customFormat="1" ht="27" customHeight="1" x14ac:dyDescent="0.25">
      <c r="B89" s="1365" t="s">
        <v>374</v>
      </c>
      <c r="C89" s="1365" t="s">
        <v>63</v>
      </c>
      <c r="D89" s="1375">
        <v>69221</v>
      </c>
      <c r="E89" s="1366" t="s">
        <v>1076</v>
      </c>
      <c r="F89" s="819" t="s">
        <v>1102</v>
      </c>
      <c r="G89" s="605" t="s">
        <v>1241</v>
      </c>
      <c r="H89" s="605" t="s">
        <v>240</v>
      </c>
      <c r="I89" s="607" t="s">
        <v>263</v>
      </c>
      <c r="J89" s="821">
        <v>1</v>
      </c>
      <c r="K89" s="607" t="s">
        <v>263</v>
      </c>
      <c r="L89" s="834">
        <v>650</v>
      </c>
      <c r="M89" s="834">
        <v>700</v>
      </c>
      <c r="N89" s="834">
        <v>3200</v>
      </c>
      <c r="X89" s="916"/>
      <c r="Y89" s="916"/>
      <c r="Z89" s="916"/>
    </row>
    <row r="90" spans="2:26" s="48" customFormat="1" ht="41.25" customHeight="1" x14ac:dyDescent="0.25">
      <c r="B90" s="1365"/>
      <c r="C90" s="1365"/>
      <c r="D90" s="1375"/>
      <c r="E90" s="1366"/>
      <c r="F90" s="819" t="s">
        <v>1133</v>
      </c>
      <c r="G90" s="605" t="s">
        <v>1240</v>
      </c>
      <c r="H90" s="605" t="s">
        <v>240</v>
      </c>
      <c r="I90" s="607" t="s">
        <v>468</v>
      </c>
      <c r="J90" s="821">
        <v>1</v>
      </c>
      <c r="K90" s="607" t="s">
        <v>468</v>
      </c>
      <c r="L90" s="834">
        <v>0</v>
      </c>
      <c r="M90" s="834">
        <v>8740.01</v>
      </c>
      <c r="N90" s="834">
        <v>0</v>
      </c>
      <c r="X90" s="916"/>
      <c r="Y90" s="916"/>
      <c r="Z90" s="916"/>
    </row>
    <row r="91" spans="2:26" s="48" customFormat="1" ht="27.75" customHeight="1" x14ac:dyDescent="0.25">
      <c r="B91" s="1365"/>
      <c r="C91" s="1365"/>
      <c r="D91" s="1375"/>
      <c r="E91" s="1366"/>
      <c r="F91" s="819" t="s">
        <v>1177</v>
      </c>
      <c r="G91" s="605" t="s">
        <v>1236</v>
      </c>
      <c r="H91" s="605" t="s">
        <v>240</v>
      </c>
      <c r="I91" s="607" t="s">
        <v>468</v>
      </c>
      <c r="J91" s="821">
        <v>1</v>
      </c>
      <c r="K91" s="607" t="s">
        <v>468</v>
      </c>
      <c r="L91" s="834">
        <v>0</v>
      </c>
      <c r="M91" s="834">
        <v>1200</v>
      </c>
      <c r="N91" s="834">
        <v>0</v>
      </c>
      <c r="X91" s="916"/>
      <c r="Y91" s="916"/>
      <c r="Z91" s="916"/>
    </row>
    <row r="92" spans="2:26" s="48" customFormat="1" ht="48.75" customHeight="1" x14ac:dyDescent="0.25">
      <c r="B92" s="1365"/>
      <c r="C92" s="1365"/>
      <c r="D92" s="1375"/>
      <c r="E92" s="1366"/>
      <c r="F92" s="819" t="s">
        <v>1296</v>
      </c>
      <c r="G92" s="605" t="s">
        <v>1245</v>
      </c>
      <c r="H92" s="605" t="s">
        <v>240</v>
      </c>
      <c r="I92" s="607" t="s">
        <v>263</v>
      </c>
      <c r="J92" s="821">
        <v>0</v>
      </c>
      <c r="K92" s="607" t="s">
        <v>468</v>
      </c>
      <c r="L92" s="834">
        <v>250</v>
      </c>
      <c r="M92" s="834">
        <v>0</v>
      </c>
      <c r="N92" s="834">
        <v>0</v>
      </c>
      <c r="X92" s="916"/>
      <c r="Y92" s="916"/>
      <c r="Z92" s="916"/>
    </row>
    <row r="93" spans="2:26" s="48" customFormat="1" ht="23.25" customHeight="1" x14ac:dyDescent="0.25">
      <c r="B93" s="1365"/>
      <c r="C93" s="1365"/>
      <c r="D93" s="1375"/>
      <c r="E93" s="1366"/>
      <c r="F93" s="819" t="s">
        <v>1134</v>
      </c>
      <c r="G93" s="605" t="s">
        <v>1246</v>
      </c>
      <c r="H93" s="605" t="s">
        <v>240</v>
      </c>
      <c r="I93" s="607" t="s">
        <v>263</v>
      </c>
      <c r="J93" s="821">
        <v>0</v>
      </c>
      <c r="K93" s="607" t="s">
        <v>468</v>
      </c>
      <c r="L93" s="834">
        <v>430.68</v>
      </c>
      <c r="M93" s="834">
        <v>0</v>
      </c>
      <c r="N93" s="834">
        <v>0</v>
      </c>
      <c r="X93" s="916"/>
      <c r="Y93" s="916"/>
      <c r="Z93" s="916"/>
    </row>
    <row r="94" spans="2:26" s="48" customFormat="1" ht="33" customHeight="1" x14ac:dyDescent="0.25">
      <c r="B94" s="1365" t="s">
        <v>374</v>
      </c>
      <c r="C94" s="1365" t="s">
        <v>63</v>
      </c>
      <c r="D94" s="1375">
        <v>69221</v>
      </c>
      <c r="E94" s="1366" t="s">
        <v>1079</v>
      </c>
      <c r="F94" s="819" t="s">
        <v>853</v>
      </c>
      <c r="G94" s="605" t="s">
        <v>1236</v>
      </c>
      <c r="H94" s="605" t="s">
        <v>240</v>
      </c>
      <c r="I94" s="607" t="s">
        <v>263</v>
      </c>
      <c r="J94" s="821">
        <v>1</v>
      </c>
      <c r="K94" s="607" t="s">
        <v>263</v>
      </c>
      <c r="L94" s="834">
        <v>1807.67</v>
      </c>
      <c r="M94" s="834">
        <v>8835</v>
      </c>
      <c r="N94" s="834">
        <v>17452.759999999998</v>
      </c>
      <c r="X94" s="916"/>
      <c r="Y94" s="916"/>
      <c r="Z94" s="916"/>
    </row>
    <row r="95" spans="2:26" s="48" customFormat="1" ht="36" customHeight="1" x14ac:dyDescent="0.25">
      <c r="B95" s="1365"/>
      <c r="C95" s="1365"/>
      <c r="D95" s="1375"/>
      <c r="E95" s="1366"/>
      <c r="F95" s="819" t="s">
        <v>1097</v>
      </c>
      <c r="G95" s="605" t="s">
        <v>1242</v>
      </c>
      <c r="H95" s="605" t="s">
        <v>240</v>
      </c>
      <c r="I95" s="607" t="s">
        <v>468</v>
      </c>
      <c r="J95" s="821">
        <v>1</v>
      </c>
      <c r="K95" s="607" t="s">
        <v>263</v>
      </c>
      <c r="L95" s="834">
        <v>0</v>
      </c>
      <c r="M95" s="834">
        <v>130</v>
      </c>
      <c r="N95" s="834">
        <v>130</v>
      </c>
      <c r="X95" s="916"/>
      <c r="Y95" s="916"/>
      <c r="Z95" s="916"/>
    </row>
    <row r="96" spans="2:26" s="48" customFormat="1" ht="27" customHeight="1" x14ac:dyDescent="0.25">
      <c r="B96" s="1365"/>
      <c r="C96" s="1365"/>
      <c r="D96" s="1375"/>
      <c r="E96" s="1366"/>
      <c r="F96" s="819" t="s">
        <v>1143</v>
      </c>
      <c r="G96" s="605" t="s">
        <v>1242</v>
      </c>
      <c r="H96" s="605" t="s">
        <v>240</v>
      </c>
      <c r="I96" s="607" t="s">
        <v>263</v>
      </c>
      <c r="J96" s="821">
        <v>1</v>
      </c>
      <c r="K96" s="607" t="s">
        <v>263</v>
      </c>
      <c r="L96" s="834">
        <v>241.37</v>
      </c>
      <c r="M96" s="834">
        <v>500</v>
      </c>
      <c r="N96" s="834">
        <v>500</v>
      </c>
      <c r="X96" s="916"/>
      <c r="Y96" s="916"/>
      <c r="Z96" s="916"/>
    </row>
    <row r="97" spans="2:26" s="48" customFormat="1" ht="31.5" customHeight="1" x14ac:dyDescent="0.25">
      <c r="B97" s="1365"/>
      <c r="C97" s="1365"/>
      <c r="D97" s="1375"/>
      <c r="E97" s="1366"/>
      <c r="F97" s="819" t="s">
        <v>1135</v>
      </c>
      <c r="G97" s="605" t="s">
        <v>1242</v>
      </c>
      <c r="H97" s="605" t="s">
        <v>240</v>
      </c>
      <c r="I97" s="607" t="s">
        <v>468</v>
      </c>
      <c r="J97" s="821">
        <v>1</v>
      </c>
      <c r="K97" s="607" t="s">
        <v>263</v>
      </c>
      <c r="L97" s="834">
        <v>0</v>
      </c>
      <c r="M97" s="834">
        <v>115</v>
      </c>
      <c r="N97" s="834">
        <v>115</v>
      </c>
      <c r="X97" s="916"/>
      <c r="Y97" s="916"/>
      <c r="Z97" s="916"/>
    </row>
    <row r="98" spans="2:26" s="48" customFormat="1" ht="44.25" customHeight="1" x14ac:dyDescent="0.25">
      <c r="B98" s="1365"/>
      <c r="C98" s="1365"/>
      <c r="D98" s="1375"/>
      <c r="E98" s="1366"/>
      <c r="F98" s="819" t="s">
        <v>1136</v>
      </c>
      <c r="G98" s="605" t="s">
        <v>1242</v>
      </c>
      <c r="H98" s="605" t="s">
        <v>240</v>
      </c>
      <c r="I98" s="607" t="s">
        <v>374</v>
      </c>
      <c r="J98" s="821">
        <v>0</v>
      </c>
      <c r="K98" s="607" t="s">
        <v>468</v>
      </c>
      <c r="L98" s="834">
        <v>101.06</v>
      </c>
      <c r="M98" s="834">
        <v>0</v>
      </c>
      <c r="N98" s="834">
        <v>0</v>
      </c>
      <c r="X98" s="916"/>
      <c r="Y98" s="916"/>
      <c r="Z98" s="916"/>
    </row>
    <row r="99" spans="2:26" s="48" customFormat="1" ht="59.25" customHeight="1" x14ac:dyDescent="0.25">
      <c r="B99" s="1365"/>
      <c r="C99" s="1365"/>
      <c r="D99" s="1375"/>
      <c r="E99" s="1366"/>
      <c r="F99" s="819" t="s">
        <v>1298</v>
      </c>
      <c r="G99" s="605" t="s">
        <v>1240</v>
      </c>
      <c r="H99" s="605" t="s">
        <v>240</v>
      </c>
      <c r="I99" s="607" t="s">
        <v>263</v>
      </c>
      <c r="J99" s="821">
        <v>0</v>
      </c>
      <c r="K99" s="607" t="s">
        <v>468</v>
      </c>
      <c r="L99" s="834">
        <v>2000</v>
      </c>
      <c r="M99" s="834">
        <v>0</v>
      </c>
      <c r="N99" s="834">
        <v>0</v>
      </c>
      <c r="X99" s="916"/>
      <c r="Y99" s="916"/>
      <c r="Z99" s="916"/>
    </row>
    <row r="100" spans="2:26" s="48" customFormat="1" ht="24" customHeight="1" x14ac:dyDescent="0.25">
      <c r="B100" s="1365"/>
      <c r="C100" s="1365"/>
      <c r="D100" s="1375"/>
      <c r="E100" s="1366"/>
      <c r="F100" s="819" t="s">
        <v>1137</v>
      </c>
      <c r="G100" s="605" t="s">
        <v>1242</v>
      </c>
      <c r="H100" s="605" t="s">
        <v>240</v>
      </c>
      <c r="I100" s="607" t="s">
        <v>263</v>
      </c>
      <c r="J100" s="821">
        <v>0</v>
      </c>
      <c r="K100" s="607" t="s">
        <v>468</v>
      </c>
      <c r="L100" s="834">
        <v>250</v>
      </c>
      <c r="M100" s="834">
        <v>0</v>
      </c>
      <c r="N100" s="834">
        <v>0</v>
      </c>
      <c r="X100" s="916"/>
      <c r="Y100" s="916"/>
      <c r="Z100" s="916"/>
    </row>
    <row r="101" spans="2:26" s="48" customFormat="1" ht="22.5" customHeight="1" x14ac:dyDescent="0.25">
      <c r="B101" s="1365"/>
      <c r="C101" s="1365"/>
      <c r="D101" s="1375"/>
      <c r="E101" s="1366"/>
      <c r="F101" s="819" t="s">
        <v>1299</v>
      </c>
      <c r="G101" s="605" t="s">
        <v>1242</v>
      </c>
      <c r="H101" s="605" t="s">
        <v>240</v>
      </c>
      <c r="I101" s="607" t="s">
        <v>374</v>
      </c>
      <c r="J101" s="821">
        <v>0</v>
      </c>
      <c r="K101" s="607" t="s">
        <v>468</v>
      </c>
      <c r="L101" s="834">
        <v>250</v>
      </c>
      <c r="M101" s="834">
        <v>0</v>
      </c>
      <c r="N101" s="834">
        <v>0</v>
      </c>
      <c r="X101" s="916"/>
      <c r="Y101" s="916"/>
      <c r="Z101" s="916"/>
    </row>
    <row r="102" spans="2:26" s="48" customFormat="1" ht="39.75" customHeight="1" x14ac:dyDescent="0.25">
      <c r="B102" s="607" t="s">
        <v>374</v>
      </c>
      <c r="C102" s="607" t="s">
        <v>63</v>
      </c>
      <c r="D102" s="821">
        <v>69221</v>
      </c>
      <c r="E102" s="822" t="s">
        <v>1075</v>
      </c>
      <c r="F102" s="819" t="s">
        <v>1300</v>
      </c>
      <c r="G102" s="605" t="s">
        <v>1247</v>
      </c>
      <c r="H102" s="605" t="s">
        <v>240</v>
      </c>
      <c r="I102" s="607" t="s">
        <v>374</v>
      </c>
      <c r="J102" s="821">
        <v>0</v>
      </c>
      <c r="K102" s="607" t="s">
        <v>468</v>
      </c>
      <c r="L102" s="834">
        <v>3790</v>
      </c>
      <c r="M102" s="834">
        <v>0</v>
      </c>
      <c r="N102" s="834">
        <v>0</v>
      </c>
      <c r="X102" s="916"/>
      <c r="Y102" s="916"/>
      <c r="Z102" s="916"/>
    </row>
    <row r="103" spans="2:26" s="48" customFormat="1" ht="24" customHeight="1" x14ac:dyDescent="0.25">
      <c r="B103" s="1372" t="s">
        <v>374</v>
      </c>
      <c r="C103" s="1372" t="s">
        <v>63</v>
      </c>
      <c r="D103" s="1370">
        <v>69221</v>
      </c>
      <c r="E103" s="1368" t="s">
        <v>1069</v>
      </c>
      <c r="F103" s="819" t="s">
        <v>1104</v>
      </c>
      <c r="G103" s="605" t="s">
        <v>1236</v>
      </c>
      <c r="H103" s="605" t="s">
        <v>240</v>
      </c>
      <c r="I103" s="607" t="s">
        <v>263</v>
      </c>
      <c r="J103" s="821">
        <v>0</v>
      </c>
      <c r="K103" s="607" t="s">
        <v>468</v>
      </c>
      <c r="L103" s="834">
        <v>17352.45</v>
      </c>
      <c r="M103" s="834">
        <v>0</v>
      </c>
      <c r="N103" s="834">
        <v>0</v>
      </c>
      <c r="X103" s="916"/>
      <c r="Y103" s="916"/>
      <c r="Z103" s="916"/>
    </row>
    <row r="104" spans="2:26" s="48" customFormat="1" ht="50.25" customHeight="1" x14ac:dyDescent="0.25">
      <c r="B104" s="1373"/>
      <c r="C104" s="1373"/>
      <c r="D104" s="1371"/>
      <c r="E104" s="1369"/>
      <c r="F104" s="819" t="s">
        <v>1228</v>
      </c>
      <c r="G104" s="605" t="s">
        <v>1236</v>
      </c>
      <c r="H104" s="605" t="s">
        <v>240</v>
      </c>
      <c r="I104" s="607" t="s">
        <v>263</v>
      </c>
      <c r="J104" s="821">
        <v>0</v>
      </c>
      <c r="K104" s="607" t="s">
        <v>468</v>
      </c>
      <c r="L104" s="834">
        <v>3799.96</v>
      </c>
      <c r="M104" s="834">
        <v>0</v>
      </c>
      <c r="N104" s="834">
        <v>0</v>
      </c>
      <c r="X104" s="916"/>
      <c r="Y104" s="916"/>
      <c r="Z104" s="916"/>
    </row>
    <row r="105" spans="2:26" s="48" customFormat="1" ht="28.5" customHeight="1" x14ac:dyDescent="0.25">
      <c r="B105" s="607" t="s">
        <v>374</v>
      </c>
      <c r="C105" s="607" t="s">
        <v>63</v>
      </c>
      <c r="D105" s="821">
        <v>69221</v>
      </c>
      <c r="E105" s="822" t="s">
        <v>1081</v>
      </c>
      <c r="F105" s="819" t="s">
        <v>1175</v>
      </c>
      <c r="G105" s="605" t="s">
        <v>1242</v>
      </c>
      <c r="H105" s="605" t="s">
        <v>240</v>
      </c>
      <c r="I105" s="607" t="s">
        <v>263</v>
      </c>
      <c r="J105" s="821">
        <v>1</v>
      </c>
      <c r="K105" s="607" t="s">
        <v>263</v>
      </c>
      <c r="L105" s="834">
        <v>1000</v>
      </c>
      <c r="M105" s="834">
        <v>1601.06</v>
      </c>
      <c r="N105" s="834">
        <v>1500</v>
      </c>
      <c r="X105" s="916"/>
      <c r="Y105" s="916"/>
      <c r="Z105" s="916"/>
    </row>
    <row r="106" spans="2:26" s="48" customFormat="1" ht="27.75" customHeight="1" x14ac:dyDescent="0.25">
      <c r="B106" s="1365" t="s">
        <v>374</v>
      </c>
      <c r="C106" s="1372" t="s">
        <v>63</v>
      </c>
      <c r="D106" s="1370">
        <v>69221</v>
      </c>
      <c r="E106" s="1368" t="s">
        <v>1138</v>
      </c>
      <c r="F106" s="819" t="s">
        <v>1139</v>
      </c>
      <c r="G106" s="605" t="s">
        <v>1242</v>
      </c>
      <c r="H106" s="605" t="s">
        <v>240</v>
      </c>
      <c r="I106" s="607" t="s">
        <v>468</v>
      </c>
      <c r="J106" s="821">
        <v>1</v>
      </c>
      <c r="K106" s="607" t="s">
        <v>263</v>
      </c>
      <c r="L106" s="834">
        <v>0</v>
      </c>
      <c r="M106" s="834">
        <v>3613.94</v>
      </c>
      <c r="N106" s="834">
        <v>3885</v>
      </c>
      <c r="X106" s="916"/>
      <c r="Y106" s="916"/>
      <c r="Z106" s="916"/>
    </row>
    <row r="107" spans="2:26" s="48" customFormat="1" ht="33" customHeight="1" x14ac:dyDescent="0.25">
      <c r="B107" s="1365"/>
      <c r="C107" s="1373"/>
      <c r="D107" s="1371"/>
      <c r="E107" s="1369"/>
      <c r="F107" s="819" t="s">
        <v>1140</v>
      </c>
      <c r="G107" s="605" t="s">
        <v>1242</v>
      </c>
      <c r="H107" s="605" t="s">
        <v>240</v>
      </c>
      <c r="I107" s="607" t="s">
        <v>263</v>
      </c>
      <c r="J107" s="821">
        <v>0</v>
      </c>
      <c r="K107" s="607" t="s">
        <v>468</v>
      </c>
      <c r="L107" s="834">
        <v>228.97</v>
      </c>
      <c r="M107" s="834">
        <v>0</v>
      </c>
      <c r="N107" s="834">
        <v>0</v>
      </c>
      <c r="X107" s="916"/>
      <c r="Y107" s="916"/>
      <c r="Z107" s="916"/>
    </row>
    <row r="108" spans="2:26" s="48" customFormat="1" ht="30" customHeight="1" x14ac:dyDescent="0.25">
      <c r="B108" s="1365"/>
      <c r="C108" s="1373"/>
      <c r="D108" s="1371"/>
      <c r="E108" s="1369"/>
      <c r="F108" s="819" t="s">
        <v>1141</v>
      </c>
      <c r="G108" s="605" t="s">
        <v>1242</v>
      </c>
      <c r="H108" s="605" t="s">
        <v>240</v>
      </c>
      <c r="I108" s="607" t="s">
        <v>263</v>
      </c>
      <c r="J108" s="821">
        <v>0</v>
      </c>
      <c r="K108" s="607" t="s">
        <v>468</v>
      </c>
      <c r="L108" s="834">
        <v>465</v>
      </c>
      <c r="M108" s="834">
        <v>0</v>
      </c>
      <c r="N108" s="834">
        <v>0</v>
      </c>
      <c r="X108" s="916"/>
      <c r="Y108" s="916"/>
      <c r="Z108" s="916"/>
    </row>
    <row r="109" spans="2:26" s="48" customFormat="1" ht="27" customHeight="1" x14ac:dyDescent="0.25">
      <c r="B109" s="1365" t="s">
        <v>374</v>
      </c>
      <c r="C109" s="1372" t="s">
        <v>63</v>
      </c>
      <c r="D109" s="1370">
        <v>69221</v>
      </c>
      <c r="E109" s="1368" t="s">
        <v>1142</v>
      </c>
      <c r="F109" s="819" t="s">
        <v>839</v>
      </c>
      <c r="G109" s="605" t="s">
        <v>1236</v>
      </c>
      <c r="H109" s="605" t="s">
        <v>240</v>
      </c>
      <c r="I109" s="607" t="s">
        <v>468</v>
      </c>
      <c r="J109" s="821">
        <v>1</v>
      </c>
      <c r="K109" s="607" t="s">
        <v>468</v>
      </c>
      <c r="L109" s="834">
        <v>0</v>
      </c>
      <c r="M109" s="834">
        <v>3900</v>
      </c>
      <c r="N109" s="834">
        <v>0</v>
      </c>
      <c r="X109" s="916"/>
      <c r="Y109" s="916"/>
      <c r="Z109" s="916"/>
    </row>
    <row r="110" spans="2:26" s="48" customFormat="1" ht="49.5" customHeight="1" x14ac:dyDescent="0.25">
      <c r="B110" s="1365"/>
      <c r="C110" s="1373"/>
      <c r="D110" s="1371"/>
      <c r="E110" s="1369"/>
      <c r="F110" s="819" t="s">
        <v>1189</v>
      </c>
      <c r="G110" s="605" t="s">
        <v>1236</v>
      </c>
      <c r="H110" s="605" t="s">
        <v>240</v>
      </c>
      <c r="I110" s="607" t="s">
        <v>263</v>
      </c>
      <c r="J110" s="821">
        <v>0</v>
      </c>
      <c r="K110" s="607" t="s">
        <v>468</v>
      </c>
      <c r="L110" s="834">
        <v>800</v>
      </c>
      <c r="M110" s="834">
        <v>0</v>
      </c>
      <c r="N110" s="834">
        <v>0</v>
      </c>
      <c r="X110" s="916"/>
      <c r="Y110" s="916"/>
      <c r="Z110" s="916"/>
    </row>
    <row r="111" spans="2:26" s="48" customFormat="1" ht="29.25" customHeight="1" x14ac:dyDescent="0.25">
      <c r="B111" s="1365"/>
      <c r="C111" s="1373"/>
      <c r="D111" s="1371"/>
      <c r="E111" s="1369"/>
      <c r="F111" s="819" t="s">
        <v>1143</v>
      </c>
      <c r="G111" s="605" t="s">
        <v>1242</v>
      </c>
      <c r="H111" s="605" t="s">
        <v>240</v>
      </c>
      <c r="I111" s="607" t="s">
        <v>263</v>
      </c>
      <c r="J111" s="821">
        <v>0</v>
      </c>
      <c r="K111" s="607" t="s">
        <v>468</v>
      </c>
      <c r="L111" s="834">
        <v>402.4</v>
      </c>
      <c r="M111" s="834">
        <v>0</v>
      </c>
      <c r="N111" s="834">
        <v>0</v>
      </c>
      <c r="X111" s="916"/>
      <c r="Y111" s="916"/>
      <c r="Z111" s="916"/>
    </row>
    <row r="112" spans="2:26" s="48" customFormat="1" ht="39" customHeight="1" x14ac:dyDescent="0.25">
      <c r="B112" s="1365" t="s">
        <v>374</v>
      </c>
      <c r="C112" s="1365" t="s">
        <v>63</v>
      </c>
      <c r="D112" s="1375">
        <v>69221</v>
      </c>
      <c r="E112" s="1366" t="s">
        <v>1078</v>
      </c>
      <c r="F112" s="819" t="s">
        <v>1096</v>
      </c>
      <c r="G112" s="605" t="s">
        <v>1242</v>
      </c>
      <c r="H112" s="605" t="s">
        <v>240</v>
      </c>
      <c r="I112" s="607" t="s">
        <v>468</v>
      </c>
      <c r="J112" s="821">
        <v>1</v>
      </c>
      <c r="K112" s="607" t="s">
        <v>468</v>
      </c>
      <c r="L112" s="834">
        <v>0</v>
      </c>
      <c r="M112" s="834">
        <v>100</v>
      </c>
      <c r="N112" s="834">
        <v>0</v>
      </c>
      <c r="X112" s="916"/>
      <c r="Y112" s="916"/>
      <c r="Z112" s="916"/>
    </row>
    <row r="113" spans="2:26" s="48" customFormat="1" ht="69" customHeight="1" x14ac:dyDescent="0.25">
      <c r="B113" s="1365"/>
      <c r="C113" s="1365"/>
      <c r="D113" s="1375"/>
      <c r="E113" s="1366"/>
      <c r="F113" s="819" t="s">
        <v>1144</v>
      </c>
      <c r="G113" s="605" t="s">
        <v>1236</v>
      </c>
      <c r="H113" s="605" t="s">
        <v>240</v>
      </c>
      <c r="I113" s="607" t="s">
        <v>263</v>
      </c>
      <c r="J113" s="821">
        <v>0</v>
      </c>
      <c r="K113" s="607" t="s">
        <v>468</v>
      </c>
      <c r="L113" s="834">
        <v>2495</v>
      </c>
      <c r="M113" s="834">
        <v>0</v>
      </c>
      <c r="N113" s="834">
        <v>0</v>
      </c>
      <c r="X113" s="916"/>
      <c r="Y113" s="916"/>
      <c r="Z113" s="916"/>
    </row>
    <row r="114" spans="2:26" s="48" customFormat="1" ht="32.25" customHeight="1" x14ac:dyDescent="0.25">
      <c r="B114" s="1365" t="s">
        <v>374</v>
      </c>
      <c r="C114" s="1365" t="s">
        <v>64</v>
      </c>
      <c r="D114" s="1375">
        <v>69221</v>
      </c>
      <c r="E114" s="1366" t="s">
        <v>1073</v>
      </c>
      <c r="F114" s="819" t="s">
        <v>1098</v>
      </c>
      <c r="G114" s="605" t="s">
        <v>1236</v>
      </c>
      <c r="H114" s="605" t="s">
        <v>240</v>
      </c>
      <c r="I114" s="607" t="s">
        <v>263</v>
      </c>
      <c r="J114" s="821">
        <v>0</v>
      </c>
      <c r="K114" s="607" t="s">
        <v>468</v>
      </c>
      <c r="L114" s="834">
        <v>1000</v>
      </c>
      <c r="M114" s="834">
        <v>0</v>
      </c>
      <c r="N114" s="834">
        <v>0</v>
      </c>
      <c r="X114" s="916"/>
      <c r="Y114" s="916"/>
      <c r="Z114" s="916"/>
    </row>
    <row r="115" spans="2:26" s="48" customFormat="1" ht="116.25" customHeight="1" x14ac:dyDescent="0.25">
      <c r="B115" s="1365"/>
      <c r="C115" s="1365"/>
      <c r="D115" s="1375"/>
      <c r="E115" s="1366"/>
      <c r="F115" s="646" t="s">
        <v>1196</v>
      </c>
      <c r="G115" s="605" t="s">
        <v>1242</v>
      </c>
      <c r="H115" s="605" t="s">
        <v>240</v>
      </c>
      <c r="I115" s="605">
        <v>1</v>
      </c>
      <c r="J115" s="605">
        <v>0</v>
      </c>
      <c r="K115" s="605">
        <v>0</v>
      </c>
      <c r="L115" s="867">
        <v>3000</v>
      </c>
      <c r="M115" s="867">
        <v>0</v>
      </c>
      <c r="N115" s="867">
        <v>0</v>
      </c>
      <c r="X115" s="916"/>
      <c r="Y115" s="916"/>
      <c r="Z115" s="916"/>
    </row>
    <row r="116" spans="2:26" s="48" customFormat="1" ht="30" customHeight="1" x14ac:dyDescent="0.25">
      <c r="B116" s="1365" t="s">
        <v>374</v>
      </c>
      <c r="C116" s="1365" t="s">
        <v>63</v>
      </c>
      <c r="D116" s="1375">
        <v>69221</v>
      </c>
      <c r="E116" s="1366" t="s">
        <v>1086</v>
      </c>
      <c r="F116" s="819" t="s">
        <v>934</v>
      </c>
      <c r="G116" s="605" t="s">
        <v>1242</v>
      </c>
      <c r="H116" s="605" t="s">
        <v>240</v>
      </c>
      <c r="I116" s="607" t="s">
        <v>263</v>
      </c>
      <c r="J116" s="821">
        <v>1</v>
      </c>
      <c r="K116" s="607" t="s">
        <v>263</v>
      </c>
      <c r="L116" s="834">
        <v>469.7</v>
      </c>
      <c r="M116" s="834">
        <v>532.65</v>
      </c>
      <c r="N116" s="834">
        <v>1000</v>
      </c>
      <c r="X116" s="916"/>
      <c r="Y116" s="916"/>
      <c r="Z116" s="916"/>
    </row>
    <row r="117" spans="2:26" s="48" customFormat="1" ht="24.75" customHeight="1" x14ac:dyDescent="0.25">
      <c r="B117" s="1365"/>
      <c r="C117" s="1365"/>
      <c r="D117" s="1375"/>
      <c r="E117" s="1366"/>
      <c r="F117" s="819" t="s">
        <v>1145</v>
      </c>
      <c r="G117" s="605" t="s">
        <v>1236</v>
      </c>
      <c r="H117" s="605" t="s">
        <v>240</v>
      </c>
      <c r="I117" s="607" t="s">
        <v>263</v>
      </c>
      <c r="J117" s="821">
        <v>0</v>
      </c>
      <c r="K117" s="607" t="s">
        <v>468</v>
      </c>
      <c r="L117" s="834">
        <v>3713.96</v>
      </c>
      <c r="M117" s="834">
        <v>0</v>
      </c>
      <c r="N117" s="834">
        <v>0</v>
      </c>
      <c r="X117" s="916"/>
      <c r="Y117" s="916"/>
      <c r="Z117" s="916"/>
    </row>
    <row r="118" spans="2:26" s="48" customFormat="1" ht="24.75" customHeight="1" x14ac:dyDescent="0.25">
      <c r="B118" s="1365"/>
      <c r="C118" s="1365"/>
      <c r="D118" s="1375"/>
      <c r="E118" s="1366"/>
      <c r="F118" s="819" t="s">
        <v>1139</v>
      </c>
      <c r="G118" s="605" t="s">
        <v>1242</v>
      </c>
      <c r="H118" s="605" t="s">
        <v>240</v>
      </c>
      <c r="I118" s="607" t="s">
        <v>263</v>
      </c>
      <c r="J118" s="821">
        <v>0</v>
      </c>
      <c r="K118" s="607" t="s">
        <v>468</v>
      </c>
      <c r="L118" s="834">
        <v>3000</v>
      </c>
      <c r="M118" s="834">
        <v>0</v>
      </c>
      <c r="N118" s="834">
        <v>0</v>
      </c>
      <c r="X118" s="916"/>
      <c r="Y118" s="916"/>
      <c r="Z118" s="916"/>
    </row>
    <row r="119" spans="2:26" s="48" customFormat="1" ht="27.75" customHeight="1" x14ac:dyDescent="0.25">
      <c r="B119" s="1365"/>
      <c r="C119" s="1365"/>
      <c r="D119" s="1375"/>
      <c r="E119" s="1366"/>
      <c r="F119" s="819" t="s">
        <v>1146</v>
      </c>
      <c r="G119" s="605" t="s">
        <v>1236</v>
      </c>
      <c r="H119" s="605" t="s">
        <v>240</v>
      </c>
      <c r="I119" s="607" t="s">
        <v>263</v>
      </c>
      <c r="J119" s="821">
        <v>0</v>
      </c>
      <c r="K119" s="607" t="s">
        <v>468</v>
      </c>
      <c r="L119" s="834">
        <v>1000</v>
      </c>
      <c r="M119" s="834">
        <v>0</v>
      </c>
      <c r="N119" s="834">
        <v>0</v>
      </c>
      <c r="X119" s="916"/>
      <c r="Y119" s="916"/>
      <c r="Z119" s="916"/>
    </row>
    <row r="120" spans="2:26" s="48" customFormat="1" ht="22.5" customHeight="1" x14ac:dyDescent="0.25">
      <c r="B120" s="823" t="s">
        <v>374</v>
      </c>
      <c r="C120" s="607" t="s">
        <v>63</v>
      </c>
      <c r="D120" s="821">
        <v>69221</v>
      </c>
      <c r="E120" s="605" t="s">
        <v>192</v>
      </c>
      <c r="F120" s="819" t="s">
        <v>635</v>
      </c>
      <c r="G120" s="605" t="s">
        <v>116</v>
      </c>
      <c r="H120" s="821" t="s">
        <v>116</v>
      </c>
      <c r="I120" s="605" t="s">
        <v>116</v>
      </c>
      <c r="J120" s="605" t="s">
        <v>116</v>
      </c>
      <c r="K120" s="605" t="s">
        <v>116</v>
      </c>
      <c r="L120" s="834">
        <f>300+618.58+591.67</f>
        <v>1510.25</v>
      </c>
      <c r="M120" s="834">
        <v>1061.3599999999999</v>
      </c>
      <c r="N120" s="834">
        <v>561.36</v>
      </c>
      <c r="X120" s="916"/>
      <c r="Y120" s="916"/>
      <c r="Z120" s="916"/>
    </row>
    <row r="121" spans="2:26" s="48" customFormat="1" ht="15.75" customHeight="1" x14ac:dyDescent="0.25">
      <c r="C121" s="684"/>
      <c r="D121" s="791"/>
      <c r="E121" s="813"/>
      <c r="F121" s="800"/>
      <c r="G121" s="673"/>
      <c r="H121" s="673"/>
      <c r="I121" s="684"/>
      <c r="J121" s="791"/>
      <c r="K121" s="684"/>
      <c r="L121" s="690"/>
      <c r="M121" s="690"/>
      <c r="N121" s="690"/>
      <c r="X121" s="916"/>
      <c r="Y121" s="916"/>
      <c r="Z121" s="916"/>
    </row>
    <row r="122" spans="2:26" s="48" customFormat="1" ht="15.75" customHeight="1" x14ac:dyDescent="0.25">
      <c r="C122" s="684"/>
      <c r="D122" s="791"/>
      <c r="E122" s="813"/>
      <c r="F122" s="800"/>
      <c r="G122" s="673"/>
      <c r="H122" s="673"/>
      <c r="I122" s="684"/>
      <c r="J122" s="791"/>
      <c r="K122" s="684"/>
      <c r="L122" s="690"/>
      <c r="M122" s="690"/>
      <c r="N122" s="690"/>
      <c r="X122" s="916"/>
      <c r="Y122" s="916"/>
      <c r="Z122" s="916"/>
    </row>
    <row r="123" spans="2:26" s="48" customFormat="1" ht="15.75" customHeight="1" x14ac:dyDescent="0.25">
      <c r="B123" s="1362" t="s">
        <v>1275</v>
      </c>
      <c r="C123" s="1362"/>
      <c r="D123" s="1362"/>
      <c r="E123" s="1362"/>
      <c r="F123" s="892" t="s">
        <v>1276</v>
      </c>
      <c r="G123" s="673"/>
      <c r="H123" s="673"/>
      <c r="I123" s="684"/>
      <c r="J123" s="791"/>
      <c r="K123" s="684"/>
      <c r="L123" s="690"/>
      <c r="M123" s="690"/>
      <c r="N123" s="690"/>
      <c r="X123" s="916"/>
      <c r="Y123" s="916"/>
      <c r="Z123" s="916"/>
    </row>
    <row r="124" spans="2:26" s="48" customFormat="1" ht="15.75" customHeight="1" x14ac:dyDescent="0.25">
      <c r="B124" s="803"/>
      <c r="C124" s="631"/>
      <c r="D124" s="631"/>
      <c r="E124" s="631"/>
      <c r="F124" s="893"/>
      <c r="G124" s="673"/>
      <c r="H124" s="673"/>
      <c r="I124" s="684"/>
      <c r="J124" s="791"/>
      <c r="K124" s="684"/>
      <c r="L124" s="690"/>
      <c r="M124" s="690"/>
      <c r="N124" s="690"/>
      <c r="X124" s="916"/>
      <c r="Y124" s="916"/>
      <c r="Z124" s="916"/>
    </row>
    <row r="125" spans="2:26" s="48" customFormat="1" ht="15.75" customHeight="1" x14ac:dyDescent="0.25">
      <c r="B125" s="803" t="s">
        <v>748</v>
      </c>
      <c r="C125" s="1367" t="s">
        <v>1277</v>
      </c>
      <c r="D125" s="1367"/>
      <c r="E125" s="1367"/>
      <c r="F125" s="893"/>
      <c r="G125" s="673"/>
      <c r="H125" s="673"/>
      <c r="I125" s="684"/>
      <c r="J125" s="791"/>
      <c r="K125" s="684"/>
      <c r="L125" s="690"/>
      <c r="M125" s="690"/>
      <c r="N125" s="690"/>
      <c r="X125" s="916"/>
      <c r="Y125" s="916"/>
      <c r="Z125" s="916"/>
    </row>
    <row r="126" spans="2:26" s="48" customFormat="1" ht="15.75" customHeight="1" x14ac:dyDescent="0.25">
      <c r="B126" s="803"/>
      <c r="C126" s="1367" t="s">
        <v>1278</v>
      </c>
      <c r="D126" s="1367"/>
      <c r="E126" s="1367"/>
      <c r="F126" s="893"/>
      <c r="G126" s="673"/>
      <c r="H126" s="673"/>
      <c r="I126" s="684"/>
      <c r="J126" s="791"/>
      <c r="K126" s="684"/>
      <c r="L126" s="690"/>
      <c r="M126" s="690"/>
      <c r="N126" s="690"/>
      <c r="X126" s="916"/>
      <c r="Y126" s="916"/>
      <c r="Z126" s="916"/>
    </row>
    <row r="127" spans="2:26" s="48" customFormat="1" ht="40.5" customHeight="1" x14ac:dyDescent="0.25">
      <c r="C127" s="684"/>
      <c r="D127" s="791"/>
      <c r="E127" s="813"/>
      <c r="F127" s="800"/>
      <c r="G127" s="673"/>
      <c r="H127" s="673"/>
      <c r="I127" s="684"/>
      <c r="J127" s="791"/>
      <c r="K127" s="684"/>
      <c r="L127" s="690"/>
      <c r="M127" s="690"/>
      <c r="N127" s="690"/>
      <c r="X127" s="916"/>
      <c r="Y127" s="916"/>
      <c r="Z127" s="916"/>
    </row>
    <row r="128" spans="2:26" s="48" customFormat="1" ht="40.5" customHeight="1" x14ac:dyDescent="0.25">
      <c r="C128" s="684"/>
      <c r="D128" s="791"/>
      <c r="E128" s="813"/>
      <c r="F128" s="800"/>
      <c r="G128" s="673"/>
      <c r="H128" s="673"/>
      <c r="I128" s="684"/>
      <c r="J128" s="791"/>
      <c r="K128" s="684"/>
      <c r="L128" s="690"/>
      <c r="M128" s="690"/>
      <c r="N128" s="690"/>
    </row>
    <row r="129" spans="3:14" s="48" customFormat="1" ht="40.5" customHeight="1" x14ac:dyDescent="0.25">
      <c r="C129" s="684"/>
      <c r="D129" s="791"/>
      <c r="E129" s="813"/>
      <c r="F129" s="800"/>
      <c r="G129" s="673"/>
      <c r="H129" s="673"/>
      <c r="I129" s="684"/>
      <c r="J129" s="791"/>
      <c r="K129" s="684"/>
      <c r="L129" s="690"/>
      <c r="M129" s="690"/>
      <c r="N129" s="690"/>
    </row>
    <row r="130" spans="3:14" s="48" customFormat="1" ht="40.5" customHeight="1" x14ac:dyDescent="0.25">
      <c r="C130" s="684"/>
      <c r="D130" s="791"/>
      <c r="E130" s="813"/>
      <c r="F130" s="800"/>
      <c r="G130" s="673"/>
      <c r="H130" s="673"/>
      <c r="I130" s="684"/>
      <c r="J130" s="791"/>
      <c r="K130" s="684"/>
      <c r="L130" s="690"/>
      <c r="M130" s="690"/>
      <c r="N130" s="690"/>
    </row>
    <row r="131" spans="3:14" x14ac:dyDescent="0.25">
      <c r="D131" s="1374"/>
      <c r="E131" s="1230"/>
      <c r="F131" s="1197"/>
      <c r="G131" s="1230"/>
      <c r="H131" s="1230"/>
      <c r="I131" s="1230"/>
      <c r="J131" s="1230"/>
      <c r="K131" s="1230"/>
      <c r="L131" s="690"/>
      <c r="M131" s="690"/>
      <c r="N131" s="690"/>
    </row>
    <row r="132" spans="3:14" x14ac:dyDescent="0.25">
      <c r="D132" s="1374"/>
      <c r="E132" s="1230"/>
      <c r="F132" s="1197"/>
      <c r="G132" s="1230"/>
      <c r="H132" s="1230"/>
      <c r="I132" s="1230"/>
      <c r="J132" s="1230"/>
      <c r="K132" s="1230"/>
      <c r="L132" s="690"/>
      <c r="M132" s="690"/>
      <c r="N132" s="690"/>
    </row>
    <row r="133" spans="3:14" x14ac:dyDescent="0.25">
      <c r="D133" s="1374"/>
      <c r="E133" s="1230"/>
      <c r="F133" s="1197"/>
      <c r="G133" s="1230"/>
      <c r="H133" s="1230"/>
      <c r="I133" s="1230"/>
      <c r="J133" s="1230"/>
      <c r="K133" s="1230"/>
      <c r="L133" s="690"/>
      <c r="M133" s="690"/>
      <c r="N133" s="690"/>
    </row>
    <row r="134" spans="3:14" x14ac:dyDescent="0.25">
      <c r="D134" s="1374"/>
      <c r="E134" s="1230"/>
      <c r="F134" s="1197"/>
      <c r="G134" s="1230"/>
      <c r="H134" s="1230"/>
      <c r="I134" s="1230"/>
      <c r="J134" s="1230"/>
      <c r="K134" s="1230"/>
      <c r="L134" s="690"/>
      <c r="M134" s="690"/>
      <c r="N134" s="690"/>
    </row>
    <row r="135" spans="3:14" x14ac:dyDescent="0.25">
      <c r="D135" s="1374"/>
      <c r="E135" s="1230"/>
      <c r="F135" s="1197"/>
      <c r="G135" s="1230"/>
      <c r="H135" s="1230"/>
      <c r="I135" s="1230"/>
      <c r="J135" s="1230"/>
      <c r="K135" s="1230"/>
      <c r="L135" s="690"/>
      <c r="M135" s="690"/>
      <c r="N135" s="690"/>
    </row>
    <row r="136" spans="3:14" x14ac:dyDescent="0.25">
      <c r="D136" s="1374"/>
      <c r="E136" s="1230"/>
      <c r="F136" s="1197"/>
      <c r="G136" s="1230"/>
      <c r="H136" s="1230"/>
      <c r="I136" s="1230"/>
      <c r="J136" s="1230"/>
      <c r="K136" s="1230"/>
      <c r="L136" s="690"/>
      <c r="M136" s="690"/>
      <c r="N136" s="690"/>
    </row>
    <row r="137" spans="3:14" x14ac:dyDescent="0.25">
      <c r="D137" s="1374"/>
      <c r="E137" s="1230"/>
      <c r="F137" s="1197"/>
      <c r="G137" s="1230"/>
      <c r="H137" s="1230"/>
      <c r="I137" s="1230"/>
      <c r="J137" s="1230"/>
      <c r="K137" s="1230"/>
      <c r="L137" s="690"/>
      <c r="M137" s="690"/>
      <c r="N137" s="690"/>
    </row>
    <row r="138" spans="3:14" x14ac:dyDescent="0.25">
      <c r="D138" s="1374"/>
      <c r="E138" s="1230"/>
      <c r="F138" s="1197"/>
      <c r="G138" s="1230"/>
      <c r="H138" s="1230"/>
      <c r="I138" s="1230"/>
      <c r="J138" s="1230"/>
      <c r="K138" s="1230"/>
      <c r="L138" s="690"/>
      <c r="M138" s="690"/>
      <c r="N138" s="690"/>
    </row>
    <row r="139" spans="3:14" x14ac:dyDescent="0.25">
      <c r="D139" s="37"/>
      <c r="E139" s="37"/>
      <c r="F139" s="37"/>
      <c r="G139" s="37"/>
      <c r="H139" s="37"/>
      <c r="I139" s="37"/>
      <c r="J139" s="37"/>
      <c r="K139" s="37"/>
      <c r="L139" s="37"/>
      <c r="M139" s="51"/>
      <c r="N139" s="51"/>
    </row>
    <row r="140" spans="3:14" x14ac:dyDescent="0.25">
      <c r="D140" s="37"/>
      <c r="E140" s="37"/>
      <c r="F140" s="37"/>
      <c r="G140" s="37"/>
      <c r="H140" s="37"/>
      <c r="I140" s="37"/>
      <c r="J140" s="37"/>
      <c r="K140" s="37"/>
      <c r="L140" s="37"/>
      <c r="M140" s="51"/>
      <c r="N140" s="51"/>
    </row>
    <row r="141" spans="3:14" x14ac:dyDescent="0.25">
      <c r="D141" s="37"/>
      <c r="E141" s="37"/>
      <c r="F141" s="37"/>
      <c r="G141" s="37"/>
      <c r="H141" s="37"/>
      <c r="I141" s="37"/>
      <c r="J141" s="37"/>
      <c r="K141" s="37"/>
      <c r="L141" s="37"/>
      <c r="M141" s="51"/>
      <c r="N141" s="51"/>
    </row>
    <row r="142" spans="3:14" x14ac:dyDescent="0.25">
      <c r="D142" s="37"/>
      <c r="E142" s="37"/>
      <c r="F142" s="37"/>
      <c r="G142" s="37"/>
      <c r="H142" s="37"/>
      <c r="I142" s="37"/>
      <c r="J142" s="37"/>
      <c r="K142" s="37"/>
      <c r="L142" s="37"/>
    </row>
    <row r="143" spans="3:14" x14ac:dyDescent="0.25">
      <c r="D143" s="37"/>
      <c r="E143" s="37"/>
      <c r="F143" s="799"/>
      <c r="G143" s="309"/>
      <c r="H143" s="37"/>
      <c r="I143" s="37"/>
      <c r="J143" s="37"/>
      <c r="K143" s="37"/>
      <c r="L143" s="51"/>
    </row>
    <row r="144" spans="3:14" x14ac:dyDescent="0.25">
      <c r="D144" s="37"/>
      <c r="E144" s="37"/>
      <c r="F144" s="814"/>
      <c r="G144" s="309"/>
      <c r="H144" s="37"/>
      <c r="I144" s="37"/>
      <c r="J144" s="37"/>
      <c r="K144" s="37"/>
      <c r="L144" s="51"/>
    </row>
    <row r="145" spans="4:12" x14ac:dyDescent="0.25">
      <c r="D145" s="37"/>
      <c r="E145" s="37"/>
      <c r="F145" s="814"/>
      <c r="G145" s="309"/>
      <c r="H145" s="37"/>
      <c r="I145" s="37"/>
      <c r="J145" s="37"/>
      <c r="K145" s="37"/>
      <c r="L145" s="51"/>
    </row>
  </sheetData>
  <autoFilter ref="C14:N34" xr:uid="{00000000-0009-0000-0000-000010000000}"/>
  <mergeCells count="90">
    <mergeCell ref="B106:B108"/>
    <mergeCell ref="B109:B111"/>
    <mergeCell ref="B112:B113"/>
    <mergeCell ref="B72:B76"/>
    <mergeCell ref="E77:E79"/>
    <mergeCell ref="E80:E84"/>
    <mergeCell ref="D80:D84"/>
    <mergeCell ref="C80:C84"/>
    <mergeCell ref="E86:E88"/>
    <mergeCell ref="B77:B79"/>
    <mergeCell ref="B89:B93"/>
    <mergeCell ref="C94:C101"/>
    <mergeCell ref="B94:B101"/>
    <mergeCell ref="D94:D101"/>
    <mergeCell ref="C72:C76"/>
    <mergeCell ref="C77:C79"/>
    <mergeCell ref="B86:B88"/>
    <mergeCell ref="B80:B84"/>
    <mergeCell ref="C86:C88"/>
    <mergeCell ref="D89:D93"/>
    <mergeCell ref="C89:C93"/>
    <mergeCell ref="D86:D88"/>
    <mergeCell ref="B64:B67"/>
    <mergeCell ref="B68:B71"/>
    <mergeCell ref="C68:C71"/>
    <mergeCell ref="E68:E71"/>
    <mergeCell ref="D72:D76"/>
    <mergeCell ref="D68:D71"/>
    <mergeCell ref="D64:D67"/>
    <mergeCell ref="B8:N8"/>
    <mergeCell ref="B9:N9"/>
    <mergeCell ref="B11:B13"/>
    <mergeCell ref="C11:C13"/>
    <mergeCell ref="D11:D13"/>
    <mergeCell ref="E11:E13"/>
    <mergeCell ref="F11:F13"/>
    <mergeCell ref="G11:K11"/>
    <mergeCell ref="L11:N11"/>
    <mergeCell ref="G12:G13"/>
    <mergeCell ref="H12:H13"/>
    <mergeCell ref="I12:K12"/>
    <mergeCell ref="L12:L13"/>
    <mergeCell ref="M12:M13"/>
    <mergeCell ref="N12:N13"/>
    <mergeCell ref="K135:K138"/>
    <mergeCell ref="J131:J134"/>
    <mergeCell ref="K131:K134"/>
    <mergeCell ref="I135:I138"/>
    <mergeCell ref="J135:J138"/>
    <mergeCell ref="I131:I134"/>
    <mergeCell ref="C109:C111"/>
    <mergeCell ref="D109:D111"/>
    <mergeCell ref="E109:E111"/>
    <mergeCell ref="C64:C67"/>
    <mergeCell ref="D131:D134"/>
    <mergeCell ref="E131:E134"/>
    <mergeCell ref="D112:D113"/>
    <mergeCell ref="D114:D115"/>
    <mergeCell ref="D77:D79"/>
    <mergeCell ref="H131:H134"/>
    <mergeCell ref="E64:E67"/>
    <mergeCell ref="E72:E76"/>
    <mergeCell ref="E94:E101"/>
    <mergeCell ref="E89:E93"/>
    <mergeCell ref="E114:E115"/>
    <mergeCell ref="H135:H138"/>
    <mergeCell ref="E103:E104"/>
    <mergeCell ref="D103:D104"/>
    <mergeCell ref="C103:C104"/>
    <mergeCell ref="B103:B104"/>
    <mergeCell ref="E106:E108"/>
    <mergeCell ref="C116:C119"/>
    <mergeCell ref="D135:D138"/>
    <mergeCell ref="E135:E138"/>
    <mergeCell ref="D106:D108"/>
    <mergeCell ref="C106:C108"/>
    <mergeCell ref="B116:B119"/>
    <mergeCell ref="F135:F138"/>
    <mergeCell ref="D116:D119"/>
    <mergeCell ref="E116:E119"/>
    <mergeCell ref="F131:F134"/>
    <mergeCell ref="G135:G138"/>
    <mergeCell ref="C114:C115"/>
    <mergeCell ref="E112:E113"/>
    <mergeCell ref="C112:C113"/>
    <mergeCell ref="B123:E123"/>
    <mergeCell ref="C125:E125"/>
    <mergeCell ref="C126:E126"/>
    <mergeCell ref="B114:B115"/>
    <mergeCell ref="G131:G134"/>
  </mergeCells>
  <phoneticPr fontId="26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59" fitToHeight="0" orientation="landscape" r:id="rId1"/>
  <headerFooter differentFirst="1" alignWithMargins="0">
    <oddHeader>&amp;C&amp;P</oddHeader>
  </headerFooter>
  <ignoredErrors>
    <ignoredError sqref="K114 K113 I113 I114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6" tint="0.39997558519241921"/>
    <pageSetUpPr fitToPage="1"/>
  </sheetPr>
  <dimension ref="A1:AD417"/>
  <sheetViews>
    <sheetView showWhiteSpace="0" zoomScale="90" zoomScaleNormal="90" workbookViewId="0">
      <pane ySplit="13" topLeftCell="A23" activePane="bottomLeft" state="frozen"/>
      <selection pane="bottomLeft" activeCell="Z16" sqref="Z16"/>
    </sheetView>
  </sheetViews>
  <sheetFormatPr defaultColWidth="8.85546875" defaultRowHeight="15.75" x14ac:dyDescent="0.25"/>
  <cols>
    <col min="1" max="1" width="2.140625" style="37" customWidth="1"/>
    <col min="2" max="2" width="13.7109375" style="37" customWidth="1"/>
    <col min="3" max="3" width="12.85546875" style="48" customWidth="1"/>
    <col min="4" max="4" width="14.85546875" style="48" customWidth="1"/>
    <col min="5" max="5" width="12.42578125" style="48" customWidth="1"/>
    <col min="6" max="6" width="35" style="802" customWidth="1"/>
    <col min="7" max="7" width="21.5703125" style="798" customWidth="1"/>
    <col min="8" max="8" width="7.42578125" style="48" customWidth="1"/>
    <col min="9" max="9" width="13.5703125" style="48" customWidth="1"/>
    <col min="10" max="10" width="10.85546875" style="48" customWidth="1"/>
    <col min="11" max="11" width="10.28515625" style="48" customWidth="1"/>
    <col min="12" max="12" width="10.85546875" style="707" customWidth="1"/>
    <col min="13" max="13" width="11.42578125" style="707" customWidth="1"/>
    <col min="14" max="14" width="11.140625" style="707" customWidth="1"/>
    <col min="15" max="15" width="9.85546875" style="37" hidden="1" customWidth="1"/>
    <col min="16" max="16" width="20.5703125" style="37" hidden="1" customWidth="1"/>
    <col min="17" max="17" width="0" style="37" hidden="1" customWidth="1"/>
    <col min="18" max="18" width="36.28515625" style="37" hidden="1" customWidth="1"/>
    <col min="19" max="19" width="27.7109375" style="37" hidden="1" customWidth="1"/>
    <col min="20" max="20" width="18.7109375" style="37" hidden="1" customWidth="1"/>
    <col min="21" max="21" width="16.85546875" style="37" hidden="1" customWidth="1"/>
    <col min="22" max="22" width="20.85546875" style="37" hidden="1" customWidth="1"/>
    <col min="23" max="23" width="15" style="37" hidden="1" customWidth="1"/>
    <col min="24" max="24" width="10.7109375" style="37" customWidth="1"/>
    <col min="25" max="25" width="9.85546875" style="37" customWidth="1"/>
    <col min="26" max="26" width="10.28515625" style="37" customWidth="1"/>
    <col min="27" max="27" width="13.140625" style="37" bestFit="1" customWidth="1"/>
    <col min="28" max="28" width="8.85546875" style="37"/>
    <col min="29" max="29" width="14.28515625" style="37" bestFit="1" customWidth="1"/>
    <col min="30" max="16384" width="8.85546875" style="37"/>
  </cols>
  <sheetData>
    <row r="1" spans="2:28" x14ac:dyDescent="0.25">
      <c r="I1" s="787" t="s">
        <v>1233</v>
      </c>
    </row>
    <row r="2" spans="2:28" x14ac:dyDescent="0.25">
      <c r="I2" s="787" t="s">
        <v>1074</v>
      </c>
    </row>
    <row r="3" spans="2:28" x14ac:dyDescent="0.25">
      <c r="I3" s="787" t="s">
        <v>499</v>
      </c>
    </row>
    <row r="4" spans="2:28" x14ac:dyDescent="0.25">
      <c r="I4" s="787" t="s">
        <v>500</v>
      </c>
    </row>
    <row r="5" spans="2:28" x14ac:dyDescent="0.25">
      <c r="I5" s="787" t="s">
        <v>1188</v>
      </c>
    </row>
    <row r="6" spans="2:28" x14ac:dyDescent="0.25">
      <c r="I6" s="787" t="s">
        <v>502</v>
      </c>
    </row>
    <row r="7" spans="2:28" ht="18.75" x14ac:dyDescent="0.25">
      <c r="C7" s="651"/>
      <c r="D7" s="80"/>
      <c r="E7" s="80"/>
      <c r="F7" s="92"/>
      <c r="G7" s="80"/>
      <c r="H7" s="80"/>
      <c r="I7" s="80"/>
      <c r="J7" s="80"/>
      <c r="K7" s="80"/>
      <c r="L7" s="788"/>
      <c r="M7" s="788"/>
    </row>
    <row r="8" spans="2:28" ht="18.75" customHeight="1" x14ac:dyDescent="0.3">
      <c r="B8" s="1389" t="s">
        <v>1121</v>
      </c>
      <c r="C8" s="1389"/>
      <c r="D8" s="1389"/>
      <c r="E8" s="1389"/>
      <c r="F8" s="1389"/>
      <c r="G8" s="1389"/>
      <c r="H8" s="1389"/>
      <c r="I8" s="1389"/>
      <c r="J8" s="1389"/>
      <c r="K8" s="1389"/>
      <c r="L8" s="1389"/>
      <c r="M8" s="1389"/>
      <c r="N8" s="1389"/>
    </row>
    <row r="9" spans="2:28" ht="42.75" customHeight="1" x14ac:dyDescent="0.25">
      <c r="B9" s="1203" t="s">
        <v>1187</v>
      </c>
      <c r="C9" s="1203"/>
      <c r="D9" s="1203"/>
      <c r="E9" s="1203"/>
      <c r="F9" s="1203"/>
      <c r="G9" s="1203"/>
      <c r="H9" s="1203"/>
      <c r="I9" s="1203"/>
      <c r="J9" s="1203"/>
      <c r="K9" s="1203"/>
      <c r="L9" s="1203"/>
      <c r="M9" s="1203"/>
      <c r="N9" s="1203"/>
    </row>
    <row r="11" spans="2:28" ht="37.5" customHeight="1" x14ac:dyDescent="0.25">
      <c r="B11" s="1364" t="s">
        <v>1118</v>
      </c>
      <c r="C11" s="1364" t="s">
        <v>1119</v>
      </c>
      <c r="D11" s="1364" t="s">
        <v>4</v>
      </c>
      <c r="E11" s="1364" t="s">
        <v>1120</v>
      </c>
      <c r="F11" s="1364" t="s">
        <v>1162</v>
      </c>
      <c r="G11" s="1364" t="s">
        <v>1161</v>
      </c>
      <c r="H11" s="1364"/>
      <c r="I11" s="1364"/>
      <c r="J11" s="1364"/>
      <c r="K11" s="1364"/>
      <c r="L11" s="1364" t="s">
        <v>1165</v>
      </c>
      <c r="M11" s="1364"/>
      <c r="N11" s="1364"/>
      <c r="O11" s="803"/>
      <c r="P11" s="803"/>
    </row>
    <row r="12" spans="2:28" ht="15.75" customHeight="1" x14ac:dyDescent="0.25">
      <c r="B12" s="1364"/>
      <c r="C12" s="1364"/>
      <c r="D12" s="1364"/>
      <c r="E12" s="1364"/>
      <c r="F12" s="1364"/>
      <c r="G12" s="1364" t="s">
        <v>18</v>
      </c>
      <c r="H12" s="1364" t="s">
        <v>148</v>
      </c>
      <c r="I12" s="1364" t="s">
        <v>150</v>
      </c>
      <c r="J12" s="1364"/>
      <c r="K12" s="1364"/>
      <c r="L12" s="1364" t="s">
        <v>1091</v>
      </c>
      <c r="M12" s="1364" t="s">
        <v>1092</v>
      </c>
      <c r="N12" s="1364" t="s">
        <v>1117</v>
      </c>
      <c r="O12" s="803"/>
      <c r="P12" s="803"/>
    </row>
    <row r="13" spans="2:28" ht="15.75" customHeight="1" x14ac:dyDescent="0.25">
      <c r="B13" s="1364"/>
      <c r="C13" s="1364"/>
      <c r="D13" s="1364"/>
      <c r="E13" s="1364"/>
      <c r="F13" s="1364"/>
      <c r="G13" s="1364"/>
      <c r="H13" s="1364"/>
      <c r="I13" s="832" t="s">
        <v>1091</v>
      </c>
      <c r="J13" s="841" t="s">
        <v>1092</v>
      </c>
      <c r="K13" s="841" t="s">
        <v>1117</v>
      </c>
      <c r="L13" s="1364"/>
      <c r="M13" s="1364"/>
      <c r="N13" s="1364"/>
      <c r="O13" s="803"/>
      <c r="P13" s="803"/>
    </row>
    <row r="14" spans="2:28" ht="17.25" customHeight="1" x14ac:dyDescent="0.25">
      <c r="B14" s="806">
        <v>1</v>
      </c>
      <c r="C14" s="808">
        <v>2</v>
      </c>
      <c r="D14" s="808">
        <v>3</v>
      </c>
      <c r="E14" s="808">
        <v>4</v>
      </c>
      <c r="F14" s="808">
        <v>5</v>
      </c>
      <c r="G14" s="808">
        <v>6</v>
      </c>
      <c r="H14" s="808">
        <v>7</v>
      </c>
      <c r="I14" s="808">
        <v>8</v>
      </c>
      <c r="J14" s="808">
        <v>10</v>
      </c>
      <c r="K14" s="808">
        <v>11</v>
      </c>
      <c r="L14" s="808">
        <v>13</v>
      </c>
      <c r="M14" s="808">
        <v>14</v>
      </c>
      <c r="N14" s="808">
        <v>15</v>
      </c>
      <c r="O14" s="803"/>
      <c r="P14" s="803"/>
      <c r="X14" s="803"/>
      <c r="Y14" s="803"/>
      <c r="Z14" s="803"/>
      <c r="AA14" s="804"/>
      <c r="AB14" s="803"/>
    </row>
    <row r="15" spans="2:28" ht="16.5" customHeight="1" thickBot="1" x14ac:dyDescent="0.3">
      <c r="B15" s="1392" t="s">
        <v>1163</v>
      </c>
      <c r="C15" s="1393"/>
      <c r="D15" s="1393"/>
      <c r="E15" s="1393"/>
      <c r="F15" s="1393"/>
      <c r="G15" s="1393"/>
      <c r="H15" s="1393"/>
      <c r="I15" s="1393"/>
      <c r="J15" s="1393"/>
      <c r="K15" s="1394"/>
      <c r="L15" s="864">
        <f>L16+L28+L30+L34</f>
        <v>190377.11</v>
      </c>
      <c r="M15" s="864">
        <f>M16+M28+M30+M34</f>
        <v>155309.51</v>
      </c>
      <c r="N15" s="864">
        <f>N16+N28+N30+N34</f>
        <v>155309.51</v>
      </c>
      <c r="O15" s="809" t="e">
        <f>#REF!+#REF!</f>
        <v>#REF!</v>
      </c>
      <c r="P15" s="809" t="e">
        <f>#REF!+#REF!</f>
        <v>#REF!</v>
      </c>
      <c r="Q15" s="809" t="e">
        <f>#REF!+#REF!</f>
        <v>#REF!</v>
      </c>
      <c r="R15" s="809" t="e">
        <f>#REF!+#REF!</f>
        <v>#REF!</v>
      </c>
      <c r="S15" s="809" t="e">
        <f>#REF!+#REF!</f>
        <v>#REF!</v>
      </c>
      <c r="T15" s="809" t="e">
        <f>#REF!+#REF!</f>
        <v>#REF!</v>
      </c>
      <c r="U15" s="809" t="e">
        <f>#REF!+#REF!</f>
        <v>#REF!</v>
      </c>
      <c r="V15" s="809" t="e">
        <f>#REF!+#REF!</f>
        <v>#REF!</v>
      </c>
      <c r="W15" s="809" t="e">
        <f>#REF!+#REF!</f>
        <v>#REF!</v>
      </c>
      <c r="X15" s="847"/>
      <c r="Y15" s="811"/>
      <c r="Z15" s="811"/>
      <c r="AA15" s="810"/>
      <c r="AB15" s="805"/>
    </row>
    <row r="16" spans="2:28" ht="40.5" customHeight="1" x14ac:dyDescent="0.25">
      <c r="B16" s="1380" t="s">
        <v>374</v>
      </c>
      <c r="C16" s="1380" t="s">
        <v>64</v>
      </c>
      <c r="D16" s="1382">
        <v>67712</v>
      </c>
      <c r="E16" s="1382" t="s">
        <v>116</v>
      </c>
      <c r="F16" s="1384" t="s">
        <v>1055</v>
      </c>
      <c r="G16" s="837" t="s">
        <v>1229</v>
      </c>
      <c r="H16" s="844" t="s">
        <v>241</v>
      </c>
      <c r="I16" s="844">
        <f t="shared" ref="I16:K17" si="0">I18+I20+I22+I24+I26</f>
        <v>3210</v>
      </c>
      <c r="J16" s="844">
        <f t="shared" si="0"/>
        <v>3210</v>
      </c>
      <c r="K16" s="844">
        <f t="shared" si="0"/>
        <v>3210</v>
      </c>
      <c r="L16" s="1397">
        <f>SUM(L18:L26)</f>
        <v>4200</v>
      </c>
      <c r="M16" s="1397">
        <f>SUM(M18:M26)</f>
        <v>4200</v>
      </c>
      <c r="N16" s="1397">
        <f>SUM(N18:N26)</f>
        <v>4200</v>
      </c>
      <c r="O16" s="801" t="e">
        <f>#REF!+#REF!</f>
        <v>#REF!</v>
      </c>
      <c r="P16" s="803"/>
      <c r="X16" s="848"/>
      <c r="Y16" s="815"/>
      <c r="Z16" s="815"/>
      <c r="AA16" s="803"/>
      <c r="AB16" s="803"/>
    </row>
    <row r="17" spans="2:30" ht="36" customHeight="1" x14ac:dyDescent="0.25">
      <c r="B17" s="1381"/>
      <c r="C17" s="1381"/>
      <c r="D17" s="1383"/>
      <c r="E17" s="1383"/>
      <c r="F17" s="1385"/>
      <c r="G17" s="837" t="s">
        <v>1230</v>
      </c>
      <c r="H17" s="844" t="s">
        <v>241</v>
      </c>
      <c r="I17" s="889">
        <f t="shared" si="0"/>
        <v>44686</v>
      </c>
      <c r="J17" s="889">
        <f t="shared" si="0"/>
        <v>44686</v>
      </c>
      <c r="K17" s="889">
        <f t="shared" si="0"/>
        <v>44686</v>
      </c>
      <c r="L17" s="1398"/>
      <c r="M17" s="1398"/>
      <c r="N17" s="1398"/>
      <c r="O17" s="690"/>
      <c r="P17" s="803"/>
      <c r="X17" s="848"/>
      <c r="Y17" s="815"/>
      <c r="Z17" s="815"/>
      <c r="AA17" s="803"/>
      <c r="AB17" s="803"/>
    </row>
    <row r="18" spans="2:30" ht="18.75" customHeight="1" x14ac:dyDescent="0.25">
      <c r="B18" s="1395" t="s">
        <v>374</v>
      </c>
      <c r="C18" s="1372" t="s">
        <v>64</v>
      </c>
      <c r="D18" s="1399">
        <v>67712</v>
      </c>
      <c r="E18" s="1399" t="s">
        <v>192</v>
      </c>
      <c r="F18" s="1399" t="s">
        <v>1105</v>
      </c>
      <c r="G18" s="733" t="s">
        <v>1265</v>
      </c>
      <c r="H18" s="1399" t="s">
        <v>241</v>
      </c>
      <c r="I18" s="821">
        <v>440</v>
      </c>
      <c r="J18" s="821">
        <v>440</v>
      </c>
      <c r="K18" s="821">
        <v>440</v>
      </c>
      <c r="L18" s="1390">
        <v>807.72</v>
      </c>
      <c r="M18" s="1390">
        <v>807.72</v>
      </c>
      <c r="N18" s="1390">
        <v>807.72</v>
      </c>
      <c r="O18" s="690"/>
      <c r="P18" s="803"/>
      <c r="X18" s="848"/>
      <c r="Y18" s="815"/>
      <c r="Z18" s="815"/>
      <c r="AA18" s="803"/>
      <c r="AB18" s="803"/>
    </row>
    <row r="19" spans="2:30" ht="39.75" customHeight="1" x14ac:dyDescent="0.25">
      <c r="B19" s="1396"/>
      <c r="C19" s="1377"/>
      <c r="D19" s="1400"/>
      <c r="E19" s="1400"/>
      <c r="F19" s="1400"/>
      <c r="G19" s="733" t="s">
        <v>1267</v>
      </c>
      <c r="H19" s="1400"/>
      <c r="I19" s="605">
        <v>24206</v>
      </c>
      <c r="J19" s="605">
        <v>24206</v>
      </c>
      <c r="K19" s="605">
        <v>24206</v>
      </c>
      <c r="L19" s="1391"/>
      <c r="M19" s="1391"/>
      <c r="N19" s="1391"/>
      <c r="O19" s="791"/>
      <c r="P19" s="673"/>
      <c r="Q19" s="791"/>
      <c r="R19" s="800"/>
      <c r="S19" s="673"/>
      <c r="T19" s="673"/>
      <c r="U19" s="807"/>
      <c r="V19" s="684"/>
      <c r="W19" s="673"/>
      <c r="X19" s="673"/>
      <c r="Y19" s="684"/>
      <c r="Z19" s="690"/>
      <c r="AA19" s="690"/>
      <c r="AB19" s="690"/>
      <c r="AC19" s="690"/>
      <c r="AD19" s="803"/>
    </row>
    <row r="20" spans="2:30" ht="18" customHeight="1" x14ac:dyDescent="0.25">
      <c r="B20" s="1395" t="s">
        <v>374</v>
      </c>
      <c r="C20" s="1372" t="s">
        <v>64</v>
      </c>
      <c r="D20" s="1399">
        <v>67712</v>
      </c>
      <c r="E20" s="1399" t="s">
        <v>192</v>
      </c>
      <c r="F20" s="1399" t="s">
        <v>1113</v>
      </c>
      <c r="G20" s="733" t="s">
        <v>1265</v>
      </c>
      <c r="H20" s="1399" t="s">
        <v>241</v>
      </c>
      <c r="I20" s="605">
        <v>605</v>
      </c>
      <c r="J20" s="605">
        <v>605</v>
      </c>
      <c r="K20" s="605">
        <v>605</v>
      </c>
      <c r="L20" s="1390">
        <v>800</v>
      </c>
      <c r="M20" s="1390">
        <v>800</v>
      </c>
      <c r="N20" s="1390">
        <v>800</v>
      </c>
      <c r="O20" s="791"/>
      <c r="P20" s="673"/>
      <c r="Q20" s="791"/>
      <c r="R20" s="800"/>
      <c r="S20" s="673"/>
      <c r="T20" s="673"/>
      <c r="U20" s="807"/>
      <c r="V20" s="684"/>
      <c r="W20" s="673"/>
      <c r="X20" s="673"/>
      <c r="Y20" s="684"/>
      <c r="Z20" s="690"/>
      <c r="AA20" s="690"/>
      <c r="AB20" s="690"/>
      <c r="AC20" s="690"/>
      <c r="AD20" s="803"/>
    </row>
    <row r="21" spans="2:30" ht="39" customHeight="1" x14ac:dyDescent="0.25">
      <c r="B21" s="1396"/>
      <c r="C21" s="1377"/>
      <c r="D21" s="1400"/>
      <c r="E21" s="1400"/>
      <c r="F21" s="1400"/>
      <c r="G21" s="733" t="s">
        <v>1267</v>
      </c>
      <c r="H21" s="1400"/>
      <c r="I21" s="605">
        <v>5980</v>
      </c>
      <c r="J21" s="605">
        <v>5980</v>
      </c>
      <c r="K21" s="605">
        <v>5980</v>
      </c>
      <c r="L21" s="1391"/>
      <c r="M21" s="1391"/>
      <c r="N21" s="1391"/>
      <c r="O21" s="791"/>
      <c r="P21" s="673"/>
      <c r="Q21" s="791"/>
      <c r="R21" s="800"/>
      <c r="S21" s="673"/>
      <c r="T21" s="673"/>
      <c r="U21" s="807"/>
      <c r="V21" s="684"/>
      <c r="W21" s="673"/>
      <c r="X21" s="673"/>
      <c r="Y21" s="684"/>
      <c r="Z21" s="690"/>
      <c r="AA21" s="690"/>
      <c r="AB21" s="690"/>
      <c r="AC21" s="690"/>
      <c r="AD21" s="803"/>
    </row>
    <row r="22" spans="2:30" ht="26.25" customHeight="1" x14ac:dyDescent="0.25">
      <c r="B22" s="1395" t="s">
        <v>374</v>
      </c>
      <c r="C22" s="1372" t="s">
        <v>64</v>
      </c>
      <c r="D22" s="1399">
        <v>67712</v>
      </c>
      <c r="E22" s="1399" t="s">
        <v>192</v>
      </c>
      <c r="F22" s="1399" t="s">
        <v>1180</v>
      </c>
      <c r="G22" s="733" t="s">
        <v>1265</v>
      </c>
      <c r="H22" s="1399" t="s">
        <v>241</v>
      </c>
      <c r="I22" s="605">
        <v>800</v>
      </c>
      <c r="J22" s="605">
        <v>800</v>
      </c>
      <c r="K22" s="605">
        <v>800</v>
      </c>
      <c r="L22" s="1390">
        <v>575.70000000000005</v>
      </c>
      <c r="M22" s="1390">
        <v>575.70000000000005</v>
      </c>
      <c r="N22" s="1390">
        <v>575.70000000000005</v>
      </c>
      <c r="O22" s="791"/>
      <c r="P22" s="673"/>
      <c r="Q22" s="791"/>
      <c r="R22" s="800"/>
      <c r="S22" s="673"/>
      <c r="T22" s="673"/>
      <c r="U22" s="807"/>
      <c r="V22" s="684"/>
      <c r="W22" s="673"/>
      <c r="X22" s="673"/>
      <c r="Y22" s="684"/>
      <c r="Z22" s="690"/>
      <c r="AA22" s="690"/>
      <c r="AB22" s="690"/>
      <c r="AC22" s="690"/>
      <c r="AD22" s="803"/>
    </row>
    <row r="23" spans="2:30" ht="34.5" customHeight="1" x14ac:dyDescent="0.25">
      <c r="B23" s="1396"/>
      <c r="C23" s="1377"/>
      <c r="D23" s="1400"/>
      <c r="E23" s="1400"/>
      <c r="F23" s="1400"/>
      <c r="G23" s="733" t="s">
        <v>1267</v>
      </c>
      <c r="H23" s="1400"/>
      <c r="I23" s="605">
        <v>3400</v>
      </c>
      <c r="J23" s="605">
        <v>3400</v>
      </c>
      <c r="K23" s="605">
        <v>3400</v>
      </c>
      <c r="L23" s="1391"/>
      <c r="M23" s="1391"/>
      <c r="N23" s="1391"/>
      <c r="O23" s="791"/>
      <c r="P23" s="673"/>
      <c r="Q23" s="791"/>
      <c r="R23" s="800"/>
      <c r="S23" s="673"/>
      <c r="T23" s="673"/>
      <c r="U23" s="807"/>
      <c r="V23" s="684"/>
      <c r="W23" s="673"/>
      <c r="X23" s="673"/>
      <c r="Y23" s="684"/>
      <c r="Z23" s="690"/>
      <c r="AA23" s="690"/>
      <c r="AB23" s="690"/>
      <c r="AC23" s="690"/>
      <c r="AD23" s="803"/>
    </row>
    <row r="24" spans="2:30" ht="24.75" customHeight="1" x14ac:dyDescent="0.25">
      <c r="B24" s="1395" t="s">
        <v>374</v>
      </c>
      <c r="C24" s="1372" t="s">
        <v>64</v>
      </c>
      <c r="D24" s="1399">
        <v>67712</v>
      </c>
      <c r="E24" s="1399" t="s">
        <v>192</v>
      </c>
      <c r="F24" s="1399" t="s">
        <v>1106</v>
      </c>
      <c r="G24" s="733" t="s">
        <v>1265</v>
      </c>
      <c r="H24" s="1399" t="s">
        <v>241</v>
      </c>
      <c r="I24" s="605">
        <v>765</v>
      </c>
      <c r="J24" s="605">
        <v>765</v>
      </c>
      <c r="K24" s="605">
        <v>765</v>
      </c>
      <c r="L24" s="1390">
        <v>993.64</v>
      </c>
      <c r="M24" s="1390">
        <v>993.64</v>
      </c>
      <c r="N24" s="1390">
        <v>993.64</v>
      </c>
      <c r="O24" s="791"/>
      <c r="P24" s="673"/>
      <c r="Q24" s="791"/>
      <c r="R24" s="800"/>
      <c r="S24" s="673"/>
      <c r="T24" s="673"/>
      <c r="U24" s="807"/>
      <c r="V24" s="684"/>
      <c r="W24" s="673"/>
      <c r="X24" s="673"/>
      <c r="Y24" s="684"/>
      <c r="Z24" s="690"/>
      <c r="AA24" s="690"/>
      <c r="AB24" s="690"/>
      <c r="AC24" s="690"/>
      <c r="AD24" s="803"/>
    </row>
    <row r="25" spans="2:30" ht="37.5" customHeight="1" x14ac:dyDescent="0.25">
      <c r="B25" s="1396"/>
      <c r="C25" s="1377"/>
      <c r="D25" s="1400"/>
      <c r="E25" s="1400"/>
      <c r="F25" s="1400"/>
      <c r="G25" s="733" t="s">
        <v>1267</v>
      </c>
      <c r="H25" s="1400"/>
      <c r="I25" s="605">
        <v>8700</v>
      </c>
      <c r="J25" s="605">
        <v>8700</v>
      </c>
      <c r="K25" s="605">
        <v>8700</v>
      </c>
      <c r="L25" s="1391"/>
      <c r="M25" s="1391"/>
      <c r="N25" s="1391"/>
      <c r="O25" s="791"/>
      <c r="P25" s="673"/>
      <c r="Q25" s="791"/>
      <c r="R25" s="800"/>
      <c r="S25" s="673"/>
      <c r="T25" s="673"/>
      <c r="U25" s="807"/>
      <c r="V25" s="684"/>
      <c r="W25" s="673"/>
      <c r="X25" s="673"/>
      <c r="Y25" s="684"/>
      <c r="Z25" s="690"/>
      <c r="AA25" s="690"/>
      <c r="AB25" s="690"/>
      <c r="AC25" s="690"/>
      <c r="AD25" s="803"/>
    </row>
    <row r="26" spans="2:30" ht="28.5" customHeight="1" x14ac:dyDescent="0.25">
      <c r="B26" s="1395" t="s">
        <v>374</v>
      </c>
      <c r="C26" s="1372" t="s">
        <v>64</v>
      </c>
      <c r="D26" s="1399">
        <v>67712</v>
      </c>
      <c r="E26" s="1399" t="s">
        <v>192</v>
      </c>
      <c r="F26" s="1399" t="s">
        <v>341</v>
      </c>
      <c r="G26" s="733" t="s">
        <v>1265</v>
      </c>
      <c r="H26" s="1399" t="s">
        <v>241</v>
      </c>
      <c r="I26" s="605">
        <v>600</v>
      </c>
      <c r="J26" s="605">
        <v>600</v>
      </c>
      <c r="K26" s="605">
        <v>600</v>
      </c>
      <c r="L26" s="1390">
        <v>1022.94</v>
      </c>
      <c r="M26" s="1390">
        <v>1022.94</v>
      </c>
      <c r="N26" s="1390">
        <v>1022.94</v>
      </c>
      <c r="O26" s="791"/>
      <c r="P26" s="673"/>
      <c r="Q26" s="791"/>
      <c r="R26" s="800"/>
      <c r="S26" s="673"/>
      <c r="T26" s="673"/>
      <c r="U26" s="807"/>
      <c r="V26" s="684"/>
      <c r="W26" s="673"/>
      <c r="X26" s="673"/>
      <c r="Y26" s="684"/>
      <c r="Z26" s="690"/>
      <c r="AA26" s="690"/>
      <c r="AB26" s="690"/>
      <c r="AC26" s="690"/>
      <c r="AD26" s="803"/>
    </row>
    <row r="27" spans="2:30" ht="39.75" customHeight="1" x14ac:dyDescent="0.25">
      <c r="B27" s="1396"/>
      <c r="C27" s="1377"/>
      <c r="D27" s="1400"/>
      <c r="E27" s="1400"/>
      <c r="F27" s="1400"/>
      <c r="G27" s="733" t="s">
        <v>1267</v>
      </c>
      <c r="H27" s="1400"/>
      <c r="I27" s="605">
        <v>2400</v>
      </c>
      <c r="J27" s="605">
        <v>2400</v>
      </c>
      <c r="K27" s="605">
        <v>2400</v>
      </c>
      <c r="L27" s="1391"/>
      <c r="M27" s="1391"/>
      <c r="N27" s="1391"/>
      <c r="O27" s="791"/>
      <c r="P27" s="673"/>
      <c r="Q27" s="791"/>
      <c r="R27" s="800"/>
      <c r="S27" s="673"/>
      <c r="T27" s="673"/>
      <c r="U27" s="807"/>
      <c r="V27" s="684"/>
      <c r="W27" s="673"/>
      <c r="X27" s="673"/>
      <c r="Y27" s="684"/>
      <c r="Z27" s="690"/>
      <c r="AA27" s="690"/>
      <c r="AB27" s="690"/>
      <c r="AC27" s="690"/>
      <c r="AD27" s="803"/>
    </row>
    <row r="28" spans="2:30" ht="38.25" customHeight="1" x14ac:dyDescent="0.25">
      <c r="B28" s="836" t="s">
        <v>374</v>
      </c>
      <c r="C28" s="836" t="s">
        <v>64</v>
      </c>
      <c r="D28" s="844">
        <v>67711</v>
      </c>
      <c r="E28" s="844" t="s">
        <v>116</v>
      </c>
      <c r="F28" s="838" t="s">
        <v>1056</v>
      </c>
      <c r="G28" s="837" t="s">
        <v>1110</v>
      </c>
      <c r="H28" s="844" t="s">
        <v>241</v>
      </c>
      <c r="I28" s="887" t="s">
        <v>1111</v>
      </c>
      <c r="J28" s="887" t="s">
        <v>1112</v>
      </c>
      <c r="K28" s="887" t="s">
        <v>1112</v>
      </c>
      <c r="L28" s="839">
        <f>L29</f>
        <v>126622.81</v>
      </c>
      <c r="M28" s="839">
        <f>M29</f>
        <v>126622.81</v>
      </c>
      <c r="N28" s="839">
        <f>N29</f>
        <v>126622.81</v>
      </c>
      <c r="O28" s="791"/>
      <c r="P28" s="673"/>
      <c r="Q28" s="791"/>
      <c r="R28" s="800"/>
      <c r="S28" s="673"/>
      <c r="T28" s="673"/>
      <c r="U28" s="807"/>
      <c r="V28" s="684"/>
      <c r="W28" s="673"/>
      <c r="X28" s="673"/>
      <c r="Y28" s="684"/>
      <c r="Z28" s="690"/>
      <c r="AA28" s="690"/>
      <c r="AB28" s="690"/>
      <c r="AC28" s="690"/>
      <c r="AD28" s="803"/>
    </row>
    <row r="29" spans="2:30" ht="39.75" customHeight="1" x14ac:dyDescent="0.25">
      <c r="B29" s="823" t="s">
        <v>374</v>
      </c>
      <c r="C29" s="607" t="s">
        <v>64</v>
      </c>
      <c r="D29" s="605">
        <v>67711</v>
      </c>
      <c r="E29" s="826" t="s">
        <v>1147</v>
      </c>
      <c r="F29" s="819" t="s">
        <v>1056</v>
      </c>
      <c r="G29" s="605" t="s">
        <v>1248</v>
      </c>
      <c r="H29" s="605" t="s">
        <v>241</v>
      </c>
      <c r="I29" s="880">
        <v>59770</v>
      </c>
      <c r="J29" s="880">
        <v>59970</v>
      </c>
      <c r="K29" s="880">
        <v>59970</v>
      </c>
      <c r="L29" s="834">
        <v>126622.81</v>
      </c>
      <c r="M29" s="834">
        <v>126622.81</v>
      </c>
      <c r="N29" s="834">
        <v>126622.81</v>
      </c>
      <c r="O29" s="791"/>
      <c r="P29" s="673"/>
      <c r="Q29" s="791"/>
      <c r="R29" s="800"/>
      <c r="S29" s="673"/>
      <c r="T29" s="673"/>
      <c r="U29" s="807"/>
      <c r="V29" s="684"/>
      <c r="W29" s="673"/>
      <c r="X29" s="673"/>
      <c r="Y29" s="684"/>
      <c r="Z29" s="690"/>
      <c r="AA29" s="690"/>
      <c r="AB29" s="690"/>
      <c r="AC29" s="690"/>
      <c r="AD29" s="803"/>
    </row>
    <row r="30" spans="2:30" ht="63" customHeight="1" x14ac:dyDescent="0.25">
      <c r="B30" s="836" t="s">
        <v>374</v>
      </c>
      <c r="C30" s="836" t="s">
        <v>64</v>
      </c>
      <c r="D30" s="837">
        <v>67721</v>
      </c>
      <c r="E30" s="842" t="s">
        <v>116</v>
      </c>
      <c r="F30" s="838" t="s">
        <v>1148</v>
      </c>
      <c r="G30" s="837" t="s">
        <v>190</v>
      </c>
      <c r="H30" s="837" t="s">
        <v>240</v>
      </c>
      <c r="I30" s="837">
        <v>1</v>
      </c>
      <c r="J30" s="837">
        <v>1</v>
      </c>
      <c r="K30" s="837">
        <v>1</v>
      </c>
      <c r="L30" s="839">
        <f>L31+L32+L33</f>
        <v>13994.44</v>
      </c>
      <c r="M30" s="839">
        <f>M31+M32+M33</f>
        <v>11000</v>
      </c>
      <c r="N30" s="839">
        <f>N31+N32+N33</f>
        <v>11000</v>
      </c>
      <c r="O30" s="791"/>
      <c r="P30" s="673"/>
      <c r="Q30" s="791"/>
      <c r="R30" s="800"/>
      <c r="S30" s="673"/>
      <c r="T30" s="673"/>
      <c r="U30" s="807"/>
      <c r="V30" s="684"/>
      <c r="W30" s="673"/>
      <c r="X30" s="895"/>
      <c r="Y30" s="690"/>
      <c r="Z30" s="690"/>
      <c r="AA30" s="690"/>
      <c r="AB30" s="690"/>
      <c r="AC30" s="690"/>
      <c r="AD30" s="803"/>
    </row>
    <row r="31" spans="2:30" ht="31.5" customHeight="1" x14ac:dyDescent="0.25">
      <c r="B31" s="1395" t="s">
        <v>374</v>
      </c>
      <c r="C31" s="1372" t="s">
        <v>64</v>
      </c>
      <c r="D31" s="1399">
        <v>67721</v>
      </c>
      <c r="E31" s="1399" t="s">
        <v>1147</v>
      </c>
      <c r="F31" s="820" t="s">
        <v>1301</v>
      </c>
      <c r="G31" s="826" t="s">
        <v>1236</v>
      </c>
      <c r="H31" s="826" t="s">
        <v>240</v>
      </c>
      <c r="I31" s="826">
        <v>7</v>
      </c>
      <c r="J31" s="605">
        <v>1</v>
      </c>
      <c r="K31" s="605">
        <v>1</v>
      </c>
      <c r="L31" s="834">
        <v>11000</v>
      </c>
      <c r="M31" s="834">
        <v>11000</v>
      </c>
      <c r="N31" s="834">
        <v>11000</v>
      </c>
      <c r="O31" s="791"/>
      <c r="P31" s="673"/>
      <c r="Q31" s="791"/>
      <c r="R31" s="800"/>
      <c r="S31" s="673"/>
      <c r="T31" s="673"/>
      <c r="U31" s="807"/>
      <c r="V31" s="684"/>
      <c r="W31" s="673"/>
      <c r="X31" s="673"/>
      <c r="Y31" s="684"/>
      <c r="Z31" s="690"/>
      <c r="AA31" s="690"/>
      <c r="AB31" s="690"/>
      <c r="AC31" s="690"/>
      <c r="AD31" s="803"/>
    </row>
    <row r="32" spans="2:30" ht="35.25" customHeight="1" x14ac:dyDescent="0.25">
      <c r="B32" s="1401"/>
      <c r="C32" s="1373"/>
      <c r="D32" s="1403"/>
      <c r="E32" s="1403"/>
      <c r="F32" s="820" t="s">
        <v>1156</v>
      </c>
      <c r="G32" s="826" t="s">
        <v>1236</v>
      </c>
      <c r="H32" s="826" t="s">
        <v>240</v>
      </c>
      <c r="I32" s="826">
        <v>1</v>
      </c>
      <c r="J32" s="605">
        <v>0</v>
      </c>
      <c r="K32" s="605">
        <v>0</v>
      </c>
      <c r="L32" s="834">
        <v>1994.44</v>
      </c>
      <c r="M32" s="834">
        <v>0</v>
      </c>
      <c r="N32" s="834">
        <v>0</v>
      </c>
      <c r="O32" s="791"/>
      <c r="P32" s="673"/>
      <c r="Q32" s="791"/>
      <c r="R32" s="800"/>
      <c r="S32" s="673"/>
      <c r="T32" s="673"/>
      <c r="U32" s="807"/>
      <c r="V32" s="684"/>
      <c r="W32" s="673"/>
      <c r="X32" s="673"/>
      <c r="Y32" s="684"/>
      <c r="Z32" s="690"/>
      <c r="AA32" s="690"/>
      <c r="AB32" s="690"/>
      <c r="AC32" s="690"/>
      <c r="AD32" s="803"/>
    </row>
    <row r="33" spans="2:30" ht="35.25" customHeight="1" x14ac:dyDescent="0.25">
      <c r="B33" s="1401"/>
      <c r="C33" s="1373"/>
      <c r="D33" s="1403"/>
      <c r="E33" s="1403"/>
      <c r="F33" s="820" t="s">
        <v>1302</v>
      </c>
      <c r="G33" s="826" t="s">
        <v>1236</v>
      </c>
      <c r="H33" s="826" t="s">
        <v>240</v>
      </c>
      <c r="I33" s="826">
        <v>1</v>
      </c>
      <c r="J33" s="605">
        <v>0</v>
      </c>
      <c r="K33" s="605">
        <v>0</v>
      </c>
      <c r="L33" s="834">
        <v>1000</v>
      </c>
      <c r="M33" s="834">
        <v>0</v>
      </c>
      <c r="N33" s="834">
        <v>0</v>
      </c>
      <c r="O33" s="791"/>
      <c r="P33" s="673"/>
      <c r="Q33" s="791"/>
      <c r="R33" s="800"/>
      <c r="S33" s="673"/>
      <c r="T33" s="673"/>
      <c r="U33" s="807"/>
      <c r="V33" s="684"/>
      <c r="W33" s="673"/>
      <c r="X33" s="673"/>
      <c r="Y33" s="684"/>
      <c r="Z33" s="690"/>
      <c r="AA33" s="690"/>
      <c r="AB33" s="690"/>
      <c r="AC33" s="690"/>
      <c r="AD33" s="803"/>
    </row>
    <row r="34" spans="2:30" ht="27.75" customHeight="1" x14ac:dyDescent="0.25">
      <c r="B34" s="843" t="s">
        <v>374</v>
      </c>
      <c r="C34" s="843" t="s">
        <v>64</v>
      </c>
      <c r="D34" s="837">
        <v>85314</v>
      </c>
      <c r="E34" s="837" t="s">
        <v>116</v>
      </c>
      <c r="F34" s="838" t="s">
        <v>1109</v>
      </c>
      <c r="G34" s="837" t="s">
        <v>1103</v>
      </c>
      <c r="H34" s="837" t="s">
        <v>240</v>
      </c>
      <c r="I34" s="837">
        <v>55</v>
      </c>
      <c r="J34" s="837">
        <v>55</v>
      </c>
      <c r="K34" s="837">
        <v>55</v>
      </c>
      <c r="L34" s="839">
        <f>L35+L36+L37+L38</f>
        <v>45559.86</v>
      </c>
      <c r="M34" s="839">
        <f>M35+M36+M37+M38</f>
        <v>13486.7</v>
      </c>
      <c r="N34" s="839">
        <f>N35+N36+N37+N38</f>
        <v>13486.7</v>
      </c>
      <c r="O34" s="791"/>
      <c r="P34" s="673"/>
      <c r="Q34" s="791"/>
      <c r="R34" s="800"/>
      <c r="S34" s="673"/>
      <c r="T34" s="673"/>
      <c r="U34" s="807"/>
      <c r="V34" s="684"/>
      <c r="W34" s="673"/>
      <c r="X34" s="690"/>
      <c r="Y34" s="690"/>
      <c r="Z34" s="690"/>
      <c r="AA34" s="690"/>
      <c r="AB34" s="690"/>
      <c r="AC34" s="690"/>
      <c r="AD34" s="803"/>
    </row>
    <row r="35" spans="2:30" ht="39.75" customHeight="1" x14ac:dyDescent="0.25">
      <c r="B35" s="1402" t="s">
        <v>374</v>
      </c>
      <c r="C35" s="1365" t="s">
        <v>64</v>
      </c>
      <c r="D35" s="1388">
        <v>85314</v>
      </c>
      <c r="E35" s="605" t="s">
        <v>505</v>
      </c>
      <c r="F35" s="903" t="s">
        <v>1287</v>
      </c>
      <c r="G35" s="605" t="s">
        <v>1249</v>
      </c>
      <c r="H35" s="607" t="s">
        <v>240</v>
      </c>
      <c r="I35" s="605">
        <v>51</v>
      </c>
      <c r="J35" s="605">
        <v>52</v>
      </c>
      <c r="K35" s="605">
        <v>52</v>
      </c>
      <c r="L35" s="834">
        <v>6000.19</v>
      </c>
      <c r="M35" s="834">
        <v>6000.19</v>
      </c>
      <c r="N35" s="834">
        <v>6000.19</v>
      </c>
      <c r="O35" s="791"/>
      <c r="P35" s="673"/>
      <c r="Q35" s="791"/>
      <c r="R35" s="800"/>
      <c r="S35" s="673"/>
      <c r="T35" s="673"/>
      <c r="U35" s="807"/>
      <c r="V35" s="684"/>
      <c r="W35" s="673"/>
      <c r="X35" s="673"/>
      <c r="Y35" s="684"/>
      <c r="Z35" s="690"/>
      <c r="AA35" s="690"/>
      <c r="AB35" s="690"/>
      <c r="AC35" s="690"/>
      <c r="AD35" s="803"/>
    </row>
    <row r="36" spans="2:30" ht="36.75" customHeight="1" x14ac:dyDescent="0.25">
      <c r="B36" s="1402"/>
      <c r="C36" s="1365"/>
      <c r="D36" s="1388"/>
      <c r="E36" s="605" t="s">
        <v>505</v>
      </c>
      <c r="F36" s="903" t="s">
        <v>1157</v>
      </c>
      <c r="G36" s="605" t="s">
        <v>1249</v>
      </c>
      <c r="H36" s="607" t="s">
        <v>240</v>
      </c>
      <c r="I36" s="605">
        <v>1</v>
      </c>
      <c r="J36" s="605">
        <v>0</v>
      </c>
      <c r="K36" s="605">
        <v>0</v>
      </c>
      <c r="L36" s="834">
        <v>32073.16</v>
      </c>
      <c r="M36" s="834">
        <v>0</v>
      </c>
      <c r="N36" s="834">
        <v>0</v>
      </c>
      <c r="O36" s="791"/>
      <c r="P36" s="673"/>
      <c r="Q36" s="791"/>
      <c r="R36" s="800"/>
      <c r="S36" s="673"/>
      <c r="T36" s="673"/>
      <c r="U36" s="807"/>
      <c r="V36" s="684"/>
      <c r="W36" s="673"/>
      <c r="X36" s="673"/>
      <c r="Y36" s="684"/>
      <c r="Z36" s="690"/>
      <c r="AA36" s="690"/>
      <c r="AB36" s="690"/>
      <c r="AC36" s="690"/>
      <c r="AD36" s="803"/>
    </row>
    <row r="37" spans="2:30" ht="75.75" customHeight="1" x14ac:dyDescent="0.25">
      <c r="B37" s="1402"/>
      <c r="C37" s="1365"/>
      <c r="D37" s="1388"/>
      <c r="E37" s="605" t="s">
        <v>505</v>
      </c>
      <c r="F37" s="903" t="s">
        <v>1288</v>
      </c>
      <c r="G37" s="605" t="s">
        <v>1249</v>
      </c>
      <c r="H37" s="607" t="s">
        <v>240</v>
      </c>
      <c r="I37" s="902">
        <v>55</v>
      </c>
      <c r="J37" s="902">
        <v>55</v>
      </c>
      <c r="K37" s="902">
        <v>55</v>
      </c>
      <c r="L37" s="834">
        <v>5989.01</v>
      </c>
      <c r="M37" s="834">
        <v>5989.01</v>
      </c>
      <c r="N37" s="834">
        <v>5989.01</v>
      </c>
      <c r="O37" s="791"/>
      <c r="P37" s="673"/>
      <c r="Q37" s="791"/>
      <c r="R37" s="800"/>
      <c r="S37" s="673"/>
      <c r="T37" s="673"/>
      <c r="U37" s="807"/>
      <c r="V37" s="684"/>
      <c r="W37" s="673"/>
      <c r="X37" s="673"/>
      <c r="Y37" s="684"/>
      <c r="Z37" s="690"/>
      <c r="AA37" s="690"/>
      <c r="AB37" s="690"/>
      <c r="AC37" s="690"/>
      <c r="AD37" s="803"/>
    </row>
    <row r="38" spans="2:30" s="48" customFormat="1" ht="66" customHeight="1" x14ac:dyDescent="0.25">
      <c r="B38" s="1402"/>
      <c r="C38" s="1365"/>
      <c r="D38" s="1388"/>
      <c r="E38" s="605" t="s">
        <v>505</v>
      </c>
      <c r="F38" s="903" t="s">
        <v>1289</v>
      </c>
      <c r="G38" s="605" t="s">
        <v>1249</v>
      </c>
      <c r="H38" s="607" t="s">
        <v>240</v>
      </c>
      <c r="I38" s="902">
        <v>47</v>
      </c>
      <c r="J38" s="902">
        <v>50</v>
      </c>
      <c r="K38" s="902">
        <v>50</v>
      </c>
      <c r="L38" s="834">
        <v>1497.5</v>
      </c>
      <c r="M38" s="834">
        <v>1497.5</v>
      </c>
      <c r="N38" s="834">
        <v>1497.5</v>
      </c>
      <c r="O38" s="791"/>
      <c r="P38" s="673"/>
      <c r="Q38" s="791"/>
      <c r="R38" s="800"/>
      <c r="S38" s="673"/>
      <c r="T38" s="673"/>
      <c r="U38" s="807"/>
      <c r="V38" s="684"/>
      <c r="W38" s="673"/>
      <c r="X38" s="673"/>
      <c r="Y38" s="684"/>
      <c r="Z38" s="690"/>
      <c r="AA38" s="690"/>
      <c r="AB38" s="690"/>
      <c r="AC38" s="690"/>
      <c r="AD38" s="631"/>
    </row>
    <row r="39" spans="2:30" s="48" customFormat="1" ht="14.25" customHeight="1" x14ac:dyDescent="0.25">
      <c r="B39" s="891"/>
      <c r="C39" s="891"/>
      <c r="D39" s="891"/>
      <c r="E39" s="891"/>
      <c r="F39" s="891"/>
      <c r="G39" s="891"/>
      <c r="H39" s="891"/>
      <c r="I39" s="891"/>
      <c r="J39" s="891"/>
      <c r="K39" s="891"/>
      <c r="L39" s="891"/>
      <c r="M39" s="891"/>
      <c r="N39" s="891"/>
      <c r="O39" s="891"/>
      <c r="P39" s="891"/>
      <c r="Q39" s="891"/>
      <c r="R39" s="891"/>
      <c r="S39" s="891"/>
      <c r="T39" s="891"/>
      <c r="U39" s="891"/>
      <c r="V39" s="891"/>
      <c r="W39" s="891"/>
      <c r="X39" s="891"/>
      <c r="Y39" s="817"/>
      <c r="Z39" s="817"/>
      <c r="AA39" s="631"/>
      <c r="AB39" s="631"/>
    </row>
    <row r="40" spans="2:30" s="48" customFormat="1" ht="12" customHeight="1" x14ac:dyDescent="0.25">
      <c r="B40" s="891"/>
      <c r="C40" s="891"/>
      <c r="D40" s="891"/>
      <c r="E40" s="891"/>
      <c r="F40" s="891"/>
      <c r="G40" s="891"/>
      <c r="H40" s="891"/>
      <c r="I40" s="891"/>
      <c r="J40" s="891"/>
      <c r="K40" s="891"/>
      <c r="L40" s="891"/>
      <c r="M40" s="891"/>
      <c r="N40" s="891"/>
      <c r="O40" s="891"/>
      <c r="P40" s="891"/>
      <c r="Q40" s="891"/>
      <c r="R40" s="891"/>
      <c r="S40" s="891"/>
      <c r="T40" s="891"/>
      <c r="U40" s="891"/>
      <c r="V40" s="891"/>
      <c r="W40" s="891"/>
      <c r="X40" s="891"/>
      <c r="Y40" s="631"/>
      <c r="Z40" s="631"/>
      <c r="AA40" s="631"/>
      <c r="AB40" s="631"/>
    </row>
    <row r="41" spans="2:30" s="48" customFormat="1" ht="12" customHeight="1" x14ac:dyDescent="0.25">
      <c r="B41" s="891"/>
      <c r="C41" s="891"/>
      <c r="D41" s="891"/>
      <c r="E41" s="891"/>
      <c r="F41" s="891"/>
      <c r="G41" s="891"/>
      <c r="H41" s="891"/>
      <c r="I41" s="891"/>
      <c r="J41" s="891"/>
      <c r="K41" s="891"/>
      <c r="L41" s="891"/>
      <c r="M41" s="891"/>
      <c r="N41" s="891"/>
      <c r="O41" s="891"/>
      <c r="P41" s="891"/>
      <c r="Q41" s="891"/>
      <c r="R41" s="891"/>
      <c r="S41" s="891"/>
      <c r="T41" s="891"/>
      <c r="U41" s="891"/>
      <c r="V41" s="891"/>
      <c r="W41" s="891"/>
      <c r="X41" s="891"/>
      <c r="Y41" s="631"/>
      <c r="Z41" s="631"/>
      <c r="AA41" s="631"/>
      <c r="AB41" s="631"/>
    </row>
    <row r="42" spans="2:30" s="48" customFormat="1" ht="12" customHeight="1" x14ac:dyDescent="0.25">
      <c r="B42" s="1362" t="s">
        <v>1279</v>
      </c>
      <c r="C42" s="1362"/>
      <c r="D42" s="1362"/>
      <c r="E42" s="1362"/>
      <c r="F42" s="1362"/>
      <c r="G42" s="891"/>
      <c r="H42" s="891"/>
      <c r="I42" s="891"/>
      <c r="J42" s="891"/>
      <c r="K42" s="891"/>
      <c r="L42" s="891"/>
      <c r="M42" s="891"/>
      <c r="N42" s="891"/>
      <c r="O42" s="891"/>
      <c r="P42" s="891"/>
      <c r="Q42" s="891"/>
      <c r="R42" s="891"/>
      <c r="S42" s="891"/>
      <c r="T42" s="891"/>
      <c r="U42" s="891"/>
      <c r="V42" s="891"/>
      <c r="W42" s="891"/>
      <c r="X42" s="891"/>
      <c r="Y42" s="631"/>
      <c r="Z42" s="631"/>
      <c r="AA42" s="631"/>
      <c r="AB42" s="631"/>
    </row>
    <row r="43" spans="2:30" s="48" customFormat="1" ht="12" customHeight="1" x14ac:dyDescent="0.25">
      <c r="B43" s="37"/>
      <c r="E43" s="802"/>
      <c r="F43" s="891"/>
      <c r="G43" s="891"/>
      <c r="H43" s="891"/>
      <c r="I43" s="891"/>
      <c r="J43" s="891"/>
      <c r="K43" s="891"/>
      <c r="L43" s="891"/>
      <c r="M43" s="891"/>
      <c r="N43" s="891"/>
      <c r="O43" s="891"/>
      <c r="P43" s="891"/>
      <c r="Q43" s="891"/>
      <c r="R43" s="891"/>
      <c r="S43" s="891"/>
      <c r="T43" s="891"/>
      <c r="U43" s="891"/>
      <c r="V43" s="891"/>
      <c r="W43" s="891"/>
      <c r="X43" s="891"/>
      <c r="Y43" s="631"/>
      <c r="Z43" s="631"/>
      <c r="AA43" s="631"/>
      <c r="AB43" s="631"/>
    </row>
    <row r="44" spans="2:30" s="48" customFormat="1" ht="12" customHeight="1" x14ac:dyDescent="0.25">
      <c r="B44" s="890" t="s">
        <v>748</v>
      </c>
      <c r="C44" s="1363" t="s">
        <v>1277</v>
      </c>
      <c r="D44" s="1363"/>
      <c r="E44" s="802"/>
      <c r="F44" s="891"/>
      <c r="G44" s="891"/>
      <c r="H44" s="891"/>
      <c r="I44" s="891"/>
      <c r="J44" s="891"/>
      <c r="K44" s="891"/>
      <c r="L44" s="891"/>
      <c r="M44" s="891"/>
      <c r="N44" s="891"/>
      <c r="O44" s="891"/>
      <c r="P44" s="891"/>
      <c r="Q44" s="891"/>
      <c r="R44" s="891"/>
      <c r="S44" s="891"/>
      <c r="T44" s="891"/>
      <c r="U44" s="891"/>
      <c r="V44" s="891"/>
      <c r="W44" s="891"/>
      <c r="X44" s="891"/>
      <c r="Y44" s="631"/>
      <c r="Z44" s="631"/>
      <c r="AA44" s="631"/>
      <c r="AB44" s="631"/>
    </row>
    <row r="45" spans="2:30" s="48" customFormat="1" ht="12" customHeight="1" x14ac:dyDescent="0.25">
      <c r="B45" s="890"/>
      <c r="C45" s="1363" t="s">
        <v>1278</v>
      </c>
      <c r="D45" s="1363"/>
      <c r="E45" s="802"/>
      <c r="F45" s="891"/>
      <c r="G45" s="891"/>
      <c r="H45" s="891"/>
      <c r="I45" s="891"/>
      <c r="J45" s="891"/>
      <c r="K45" s="891"/>
      <c r="L45" s="891"/>
      <c r="M45" s="891"/>
      <c r="N45" s="891"/>
      <c r="O45" s="891"/>
      <c r="P45" s="891"/>
      <c r="Q45" s="891"/>
      <c r="R45" s="891"/>
      <c r="S45" s="891"/>
      <c r="T45" s="891"/>
      <c r="U45" s="891"/>
      <c r="V45" s="891"/>
      <c r="W45" s="891"/>
      <c r="X45" s="891"/>
      <c r="Y45" s="631"/>
      <c r="Z45" s="631"/>
      <c r="AA45" s="631"/>
      <c r="AB45" s="631"/>
    </row>
    <row r="46" spans="2:30" s="48" customFormat="1" ht="12" customHeight="1" x14ac:dyDescent="0.25">
      <c r="B46" s="891"/>
      <c r="C46" s="891"/>
      <c r="D46" s="891"/>
      <c r="E46" s="891"/>
      <c r="F46" s="891"/>
      <c r="G46" s="891"/>
      <c r="H46" s="891"/>
      <c r="I46" s="891"/>
      <c r="J46" s="891"/>
      <c r="K46" s="891"/>
      <c r="L46" s="891"/>
      <c r="M46" s="891"/>
      <c r="N46" s="891"/>
      <c r="O46" s="891"/>
      <c r="P46" s="891"/>
      <c r="Q46" s="891"/>
      <c r="R46" s="891"/>
      <c r="S46" s="891"/>
      <c r="T46" s="891"/>
      <c r="U46" s="891"/>
      <c r="V46" s="891"/>
      <c r="W46" s="891"/>
      <c r="X46" s="891"/>
      <c r="Y46" s="631"/>
      <c r="Z46" s="631"/>
      <c r="AA46" s="631"/>
      <c r="AB46" s="631"/>
    </row>
    <row r="47" spans="2:30" s="48" customFormat="1" ht="12" customHeight="1" x14ac:dyDescent="0.25">
      <c r="B47" s="891"/>
      <c r="C47" s="891"/>
      <c r="D47" s="891"/>
      <c r="E47" s="891"/>
      <c r="F47" s="891"/>
      <c r="G47" s="891"/>
      <c r="H47" s="891"/>
      <c r="I47" s="891"/>
      <c r="J47" s="891"/>
      <c r="K47" s="891"/>
      <c r="L47" s="891"/>
      <c r="M47" s="891"/>
      <c r="N47" s="891"/>
      <c r="O47" s="891"/>
      <c r="P47" s="891"/>
      <c r="Q47" s="891"/>
      <c r="R47" s="891"/>
      <c r="S47" s="891"/>
      <c r="T47" s="891"/>
      <c r="U47" s="891"/>
      <c r="V47" s="891"/>
      <c r="W47" s="891"/>
      <c r="X47" s="891"/>
      <c r="Y47" s="631"/>
      <c r="Z47" s="631"/>
      <c r="AA47" s="631"/>
      <c r="AB47" s="631"/>
    </row>
    <row r="48" spans="2:30" s="48" customFormat="1" ht="12" customHeight="1" x14ac:dyDescent="0.25">
      <c r="B48" s="891"/>
      <c r="C48" s="891"/>
      <c r="D48" s="891"/>
      <c r="E48" s="891"/>
      <c r="F48" s="891"/>
      <c r="G48" s="891"/>
      <c r="H48" s="891"/>
      <c r="I48" s="891"/>
      <c r="J48" s="891"/>
      <c r="K48" s="891"/>
      <c r="L48" s="891"/>
      <c r="M48" s="891"/>
      <c r="N48" s="891"/>
      <c r="O48" s="891"/>
      <c r="P48" s="891"/>
      <c r="Q48" s="891"/>
      <c r="R48" s="891"/>
      <c r="S48" s="891"/>
      <c r="T48" s="891"/>
      <c r="U48" s="891"/>
      <c r="V48" s="891"/>
      <c r="W48" s="891"/>
      <c r="X48" s="891"/>
      <c r="Y48" s="631"/>
      <c r="Z48" s="631"/>
      <c r="AA48" s="631"/>
      <c r="AB48" s="631"/>
    </row>
    <row r="49" spans="2:28" s="48" customFormat="1" ht="12" customHeight="1" x14ac:dyDescent="0.25">
      <c r="B49" s="891"/>
      <c r="C49" s="891"/>
      <c r="D49" s="891"/>
      <c r="E49" s="891"/>
      <c r="F49" s="891"/>
      <c r="G49" s="891"/>
      <c r="H49" s="891"/>
      <c r="I49" s="891"/>
      <c r="J49" s="891"/>
      <c r="K49" s="891"/>
      <c r="L49" s="891"/>
      <c r="M49" s="891"/>
      <c r="N49" s="891"/>
      <c r="O49" s="891"/>
      <c r="P49" s="891"/>
      <c r="Q49" s="891"/>
      <c r="R49" s="891"/>
      <c r="S49" s="891"/>
      <c r="T49" s="891"/>
      <c r="U49" s="891"/>
      <c r="V49" s="891"/>
      <c r="W49" s="891"/>
      <c r="X49" s="891"/>
      <c r="Y49" s="631"/>
      <c r="Z49" s="631"/>
      <c r="AA49" s="631"/>
      <c r="AB49" s="631"/>
    </row>
    <row r="50" spans="2:28" s="48" customFormat="1" ht="12" customHeight="1" x14ac:dyDescent="0.25">
      <c r="B50" s="891"/>
      <c r="C50" s="891"/>
      <c r="D50" s="891"/>
      <c r="E50" s="891"/>
      <c r="F50" s="891"/>
      <c r="G50" s="891"/>
      <c r="H50" s="891"/>
      <c r="I50" s="891"/>
      <c r="J50" s="891"/>
      <c r="K50" s="891"/>
      <c r="L50" s="891"/>
      <c r="M50" s="891"/>
      <c r="N50" s="891"/>
      <c r="O50" s="891"/>
      <c r="P50" s="891"/>
      <c r="Q50" s="891"/>
      <c r="R50" s="891"/>
      <c r="S50" s="891"/>
      <c r="T50" s="891"/>
      <c r="U50" s="891"/>
      <c r="V50" s="891"/>
      <c r="W50" s="891"/>
      <c r="X50" s="891"/>
      <c r="Y50" s="631"/>
      <c r="Z50" s="631"/>
      <c r="AA50" s="631"/>
      <c r="AB50" s="631"/>
    </row>
    <row r="51" spans="2:28" s="48" customFormat="1" ht="12" customHeight="1" x14ac:dyDescent="0.25">
      <c r="B51" s="891"/>
      <c r="C51" s="891"/>
      <c r="D51" s="891"/>
      <c r="E51" s="891"/>
      <c r="F51" s="891"/>
      <c r="G51" s="891"/>
      <c r="H51" s="891"/>
      <c r="I51" s="891"/>
      <c r="J51" s="891"/>
      <c r="K51" s="891"/>
      <c r="L51" s="891"/>
      <c r="M51" s="891"/>
      <c r="N51" s="891"/>
      <c r="O51" s="891"/>
      <c r="P51" s="891"/>
      <c r="Q51" s="891"/>
      <c r="R51" s="891"/>
      <c r="S51" s="891"/>
      <c r="T51" s="891"/>
      <c r="U51" s="891"/>
      <c r="V51" s="891"/>
      <c r="W51" s="891"/>
      <c r="X51" s="891"/>
      <c r="Y51" s="631"/>
      <c r="Z51" s="631"/>
      <c r="AA51" s="631"/>
      <c r="AB51" s="631"/>
    </row>
    <row r="52" spans="2:28" s="48" customFormat="1" ht="12" customHeight="1" x14ac:dyDescent="0.25">
      <c r="B52" s="891"/>
      <c r="C52" s="891"/>
      <c r="D52" s="891"/>
      <c r="E52" s="891"/>
      <c r="F52" s="891"/>
      <c r="G52" s="891"/>
      <c r="H52" s="891"/>
      <c r="I52" s="891"/>
      <c r="J52" s="891"/>
      <c r="K52" s="891"/>
      <c r="L52" s="891"/>
      <c r="M52" s="891"/>
      <c r="N52" s="891"/>
      <c r="O52" s="891"/>
      <c r="P52" s="891"/>
      <c r="Q52" s="891"/>
      <c r="R52" s="891"/>
      <c r="S52" s="891"/>
      <c r="T52" s="891"/>
      <c r="U52" s="891"/>
      <c r="V52" s="891"/>
      <c r="W52" s="891"/>
      <c r="X52" s="891"/>
      <c r="Y52" s="631"/>
      <c r="Z52" s="631"/>
      <c r="AA52" s="631"/>
      <c r="AB52" s="631"/>
    </row>
    <row r="53" spans="2:28" s="48" customFormat="1" ht="12" customHeight="1" x14ac:dyDescent="0.25">
      <c r="B53" s="891"/>
      <c r="C53" s="891"/>
      <c r="D53" s="891"/>
      <c r="E53" s="891"/>
      <c r="F53" s="891"/>
      <c r="G53" s="891"/>
      <c r="H53" s="891"/>
      <c r="I53" s="891"/>
      <c r="J53" s="891"/>
      <c r="K53" s="891"/>
      <c r="L53" s="891"/>
      <c r="M53" s="891"/>
      <c r="N53" s="891"/>
      <c r="O53" s="891"/>
      <c r="P53" s="891"/>
      <c r="Q53" s="891"/>
      <c r="R53" s="891"/>
      <c r="S53" s="891"/>
      <c r="T53" s="891"/>
      <c r="U53" s="891"/>
      <c r="V53" s="891"/>
      <c r="W53" s="891"/>
      <c r="X53" s="891"/>
      <c r="Y53" s="631"/>
      <c r="Z53" s="631"/>
      <c r="AA53" s="631"/>
      <c r="AB53" s="631"/>
    </row>
    <row r="54" spans="2:28" s="48" customFormat="1" ht="12" customHeight="1" x14ac:dyDescent="0.25">
      <c r="B54" s="891"/>
      <c r="C54" s="891"/>
      <c r="D54" s="891"/>
      <c r="E54" s="891"/>
      <c r="F54" s="891"/>
      <c r="G54" s="891"/>
      <c r="H54" s="891"/>
      <c r="I54" s="891"/>
      <c r="J54" s="891"/>
      <c r="K54" s="891"/>
      <c r="L54" s="891"/>
      <c r="M54" s="891"/>
      <c r="N54" s="891"/>
      <c r="O54" s="891"/>
      <c r="P54" s="891"/>
      <c r="Q54" s="891"/>
      <c r="R54" s="891"/>
      <c r="S54" s="891"/>
      <c r="T54" s="891"/>
      <c r="U54" s="891"/>
      <c r="V54" s="891"/>
      <c r="W54" s="891"/>
      <c r="X54" s="891"/>
      <c r="Y54" s="631"/>
      <c r="Z54" s="631"/>
      <c r="AA54" s="631"/>
      <c r="AB54" s="631"/>
    </row>
    <row r="55" spans="2:28" s="48" customFormat="1" ht="12" customHeight="1" x14ac:dyDescent="0.25">
      <c r="B55" s="891"/>
      <c r="C55" s="891"/>
      <c r="D55" s="891"/>
      <c r="E55" s="891"/>
      <c r="F55" s="891"/>
      <c r="G55" s="891"/>
      <c r="H55" s="891"/>
      <c r="I55" s="891"/>
      <c r="J55" s="891"/>
      <c r="K55" s="891"/>
      <c r="L55" s="891"/>
      <c r="M55" s="891"/>
      <c r="N55" s="891"/>
      <c r="O55" s="891"/>
      <c r="P55" s="891"/>
      <c r="Q55" s="891"/>
      <c r="R55" s="891"/>
      <c r="S55" s="891"/>
      <c r="T55" s="891"/>
      <c r="U55" s="891"/>
      <c r="V55" s="891"/>
      <c r="W55" s="891"/>
      <c r="X55" s="891"/>
      <c r="Y55" s="631"/>
      <c r="Z55" s="631"/>
      <c r="AA55" s="631"/>
      <c r="AB55" s="631"/>
    </row>
    <row r="56" spans="2:28" s="48" customFormat="1" ht="12" customHeight="1" x14ac:dyDescent="0.25">
      <c r="B56" s="891"/>
      <c r="C56" s="891"/>
      <c r="D56" s="891"/>
      <c r="E56" s="891"/>
      <c r="F56" s="891"/>
      <c r="G56" s="891"/>
      <c r="H56" s="891"/>
      <c r="I56" s="891"/>
      <c r="J56" s="891"/>
      <c r="K56" s="891"/>
      <c r="L56" s="891"/>
      <c r="M56" s="891"/>
      <c r="N56" s="891"/>
      <c r="O56" s="891"/>
      <c r="P56" s="891"/>
      <c r="Q56" s="891"/>
      <c r="R56" s="891"/>
      <c r="S56" s="891"/>
      <c r="T56" s="891"/>
      <c r="U56" s="891"/>
      <c r="V56" s="891"/>
      <c r="W56" s="891"/>
      <c r="X56" s="891"/>
      <c r="Y56" s="631"/>
      <c r="Z56" s="631"/>
      <c r="AA56" s="631"/>
      <c r="AB56" s="631"/>
    </row>
    <row r="57" spans="2:28" s="48" customFormat="1" ht="12" customHeight="1" x14ac:dyDescent="0.25">
      <c r="B57" s="891"/>
      <c r="C57" s="891"/>
      <c r="D57" s="891"/>
      <c r="E57" s="891"/>
      <c r="F57" s="891"/>
      <c r="G57" s="891"/>
      <c r="H57" s="891"/>
      <c r="I57" s="891"/>
      <c r="J57" s="891"/>
      <c r="K57" s="891"/>
      <c r="L57" s="891"/>
      <c r="M57" s="891"/>
      <c r="N57" s="891"/>
      <c r="O57" s="891"/>
      <c r="P57" s="891"/>
      <c r="Q57" s="891"/>
      <c r="R57" s="891"/>
      <c r="S57" s="891"/>
      <c r="T57" s="891"/>
      <c r="U57" s="891"/>
      <c r="V57" s="891"/>
      <c r="W57" s="891"/>
      <c r="X57" s="891"/>
      <c r="Y57" s="631"/>
      <c r="Z57" s="631"/>
      <c r="AA57" s="631"/>
      <c r="AB57" s="631"/>
    </row>
    <row r="58" spans="2:28" s="48" customFormat="1" ht="12" customHeight="1" x14ac:dyDescent="0.25">
      <c r="B58" s="891"/>
      <c r="C58" s="891"/>
      <c r="D58" s="891"/>
      <c r="E58" s="891"/>
      <c r="F58" s="891"/>
      <c r="G58" s="891"/>
      <c r="H58" s="891"/>
      <c r="I58" s="891"/>
      <c r="J58" s="891"/>
      <c r="K58" s="891"/>
      <c r="L58" s="891"/>
      <c r="M58" s="891"/>
      <c r="N58" s="891"/>
      <c r="O58" s="891"/>
      <c r="P58" s="891"/>
      <c r="Q58" s="891"/>
      <c r="R58" s="891"/>
      <c r="S58" s="891"/>
      <c r="T58" s="891"/>
      <c r="U58" s="891"/>
      <c r="V58" s="891"/>
      <c r="W58" s="891"/>
      <c r="X58" s="891"/>
      <c r="Y58" s="631"/>
      <c r="Z58" s="631"/>
      <c r="AA58" s="631"/>
      <c r="AB58" s="631"/>
    </row>
    <row r="59" spans="2:28" s="48" customFormat="1" ht="12" customHeight="1" x14ac:dyDescent="0.25">
      <c r="B59" s="891"/>
      <c r="C59" s="891"/>
      <c r="D59" s="891"/>
      <c r="E59" s="891"/>
      <c r="F59" s="891"/>
      <c r="G59" s="891"/>
      <c r="H59" s="891"/>
      <c r="I59" s="891"/>
      <c r="J59" s="891"/>
      <c r="K59" s="891"/>
      <c r="L59" s="891"/>
      <c r="M59" s="891"/>
      <c r="N59" s="891"/>
      <c r="O59" s="891"/>
      <c r="P59" s="891"/>
      <c r="Q59" s="891"/>
      <c r="R59" s="891"/>
      <c r="S59" s="891"/>
      <c r="T59" s="891"/>
      <c r="U59" s="891"/>
      <c r="V59" s="891"/>
      <c r="W59" s="891"/>
      <c r="X59" s="891"/>
      <c r="Y59" s="631"/>
      <c r="Z59" s="631"/>
      <c r="AA59" s="631"/>
      <c r="AB59" s="631"/>
    </row>
    <row r="60" spans="2:28" s="48" customFormat="1" ht="12" customHeight="1" x14ac:dyDescent="0.25">
      <c r="B60" s="891"/>
      <c r="C60" s="891"/>
      <c r="D60" s="891"/>
      <c r="E60" s="891"/>
      <c r="F60" s="891"/>
      <c r="G60" s="891"/>
      <c r="H60" s="891"/>
      <c r="I60" s="891"/>
      <c r="J60" s="891"/>
      <c r="K60" s="891"/>
      <c r="L60" s="891"/>
      <c r="M60" s="891"/>
      <c r="N60" s="891"/>
      <c r="O60" s="891"/>
      <c r="P60" s="891"/>
      <c r="Q60" s="891"/>
      <c r="R60" s="891"/>
      <c r="S60" s="891"/>
      <c r="T60" s="891"/>
      <c r="U60" s="891"/>
      <c r="V60" s="891"/>
      <c r="W60" s="891"/>
      <c r="X60" s="891"/>
      <c r="Y60" s="631"/>
      <c r="Z60" s="631"/>
      <c r="AA60" s="631"/>
      <c r="AB60" s="631"/>
    </row>
    <row r="61" spans="2:28" s="48" customFormat="1" ht="12" customHeight="1" x14ac:dyDescent="0.25">
      <c r="B61" s="891"/>
      <c r="C61" s="891"/>
      <c r="D61" s="891"/>
      <c r="E61" s="891"/>
      <c r="F61" s="891"/>
      <c r="G61" s="891"/>
      <c r="H61" s="891"/>
      <c r="I61" s="891"/>
      <c r="J61" s="891"/>
      <c r="K61" s="891"/>
      <c r="L61" s="891"/>
      <c r="M61" s="891"/>
      <c r="N61" s="891"/>
      <c r="O61" s="891"/>
      <c r="P61" s="891"/>
      <c r="Q61" s="891"/>
      <c r="R61" s="891"/>
      <c r="S61" s="891"/>
      <c r="T61" s="891"/>
      <c r="U61" s="891"/>
      <c r="V61" s="891"/>
      <c r="W61" s="891"/>
      <c r="X61" s="891"/>
      <c r="Y61" s="631"/>
      <c r="Z61" s="631"/>
      <c r="AA61" s="631"/>
      <c r="AB61" s="631"/>
    </row>
    <row r="62" spans="2:28" s="48" customFormat="1" ht="12" customHeight="1" x14ac:dyDescent="0.25">
      <c r="B62" s="891"/>
      <c r="C62" s="891"/>
      <c r="D62" s="891"/>
      <c r="E62" s="891"/>
      <c r="F62" s="891"/>
      <c r="G62" s="891"/>
      <c r="H62" s="891"/>
      <c r="I62" s="891"/>
      <c r="J62" s="891"/>
      <c r="K62" s="891"/>
      <c r="L62" s="891"/>
      <c r="M62" s="891"/>
      <c r="N62" s="891"/>
      <c r="O62" s="891"/>
      <c r="P62" s="891"/>
      <c r="Q62" s="891"/>
      <c r="R62" s="891"/>
      <c r="S62" s="891"/>
      <c r="T62" s="891"/>
      <c r="U62" s="891"/>
      <c r="V62" s="891"/>
      <c r="W62" s="891"/>
      <c r="X62" s="891"/>
      <c r="Y62" s="631"/>
      <c r="Z62" s="631"/>
      <c r="AA62" s="631"/>
      <c r="AB62" s="631"/>
    </row>
    <row r="63" spans="2:28" s="48" customFormat="1" ht="12" customHeight="1" x14ac:dyDescent="0.25">
      <c r="B63" s="891"/>
      <c r="C63" s="891"/>
      <c r="D63" s="891"/>
      <c r="E63" s="891"/>
      <c r="F63" s="891"/>
      <c r="G63" s="891"/>
      <c r="H63" s="891"/>
      <c r="I63" s="891"/>
      <c r="J63" s="891"/>
      <c r="K63" s="891"/>
      <c r="L63" s="891"/>
      <c r="M63" s="891"/>
      <c r="N63" s="891"/>
      <c r="O63" s="891"/>
      <c r="P63" s="891"/>
      <c r="Q63" s="891"/>
      <c r="R63" s="891"/>
      <c r="S63" s="891"/>
      <c r="T63" s="891"/>
      <c r="U63" s="891"/>
      <c r="V63" s="891"/>
      <c r="W63" s="891"/>
      <c r="X63" s="891"/>
      <c r="Y63" s="631"/>
      <c r="Z63" s="631"/>
      <c r="AA63" s="631"/>
      <c r="AB63" s="631"/>
    </row>
    <row r="64" spans="2:28" s="48" customFormat="1" ht="12" customHeight="1" x14ac:dyDescent="0.25">
      <c r="B64" s="891"/>
      <c r="C64" s="891"/>
      <c r="D64" s="891"/>
      <c r="E64" s="891"/>
      <c r="F64" s="891"/>
      <c r="G64" s="891"/>
      <c r="H64" s="891"/>
      <c r="I64" s="891"/>
      <c r="J64" s="891"/>
      <c r="K64" s="891"/>
      <c r="L64" s="891"/>
      <c r="M64" s="891"/>
      <c r="N64" s="891"/>
      <c r="O64" s="891"/>
      <c r="P64" s="891"/>
      <c r="Q64" s="891"/>
      <c r="R64" s="891"/>
      <c r="S64" s="891"/>
      <c r="T64" s="891"/>
      <c r="U64" s="891"/>
      <c r="V64" s="891"/>
      <c r="W64" s="891"/>
      <c r="X64" s="891"/>
      <c r="Y64" s="631"/>
      <c r="Z64" s="631"/>
      <c r="AA64" s="631"/>
      <c r="AB64" s="631"/>
    </row>
    <row r="65" spans="1:28" s="48" customFormat="1" ht="12" customHeight="1" x14ac:dyDescent="0.25">
      <c r="B65" s="891"/>
      <c r="C65" s="891"/>
      <c r="D65" s="891"/>
      <c r="E65" s="891"/>
      <c r="F65" s="891"/>
      <c r="G65" s="891"/>
      <c r="H65" s="891"/>
      <c r="I65" s="891"/>
      <c r="J65" s="891"/>
      <c r="K65" s="891"/>
      <c r="L65" s="891"/>
      <c r="M65" s="891"/>
      <c r="N65" s="891"/>
      <c r="O65" s="891"/>
      <c r="P65" s="891"/>
      <c r="Q65" s="891"/>
      <c r="R65" s="891"/>
      <c r="S65" s="891"/>
      <c r="T65" s="891"/>
      <c r="U65" s="891"/>
      <c r="V65" s="891"/>
      <c r="W65" s="891"/>
      <c r="X65" s="891"/>
      <c r="Y65" s="631"/>
      <c r="Z65" s="631"/>
      <c r="AA65" s="631"/>
      <c r="AB65" s="631"/>
    </row>
    <row r="66" spans="1:28" s="48" customFormat="1" ht="12" customHeight="1" x14ac:dyDescent="0.25">
      <c r="B66" s="891"/>
      <c r="C66" s="891"/>
      <c r="D66" s="891"/>
      <c r="E66" s="891"/>
      <c r="F66" s="891"/>
      <c r="G66" s="891"/>
      <c r="H66" s="891"/>
      <c r="I66" s="891"/>
      <c r="J66" s="891"/>
      <c r="K66" s="891"/>
      <c r="L66" s="891"/>
      <c r="M66" s="891"/>
      <c r="N66" s="891"/>
      <c r="O66" s="891"/>
      <c r="P66" s="891"/>
      <c r="Q66" s="891"/>
      <c r="R66" s="891"/>
      <c r="S66" s="891"/>
      <c r="T66" s="891"/>
      <c r="U66" s="891"/>
      <c r="V66" s="891"/>
      <c r="W66" s="891"/>
      <c r="X66" s="891"/>
      <c r="Y66" s="631"/>
      <c r="Z66" s="631"/>
      <c r="AA66" s="631"/>
      <c r="AB66" s="631"/>
    </row>
    <row r="67" spans="1:28" s="48" customFormat="1" ht="16.5" customHeight="1" x14ac:dyDescent="0.25">
      <c r="A67" s="707"/>
      <c r="B67" s="891"/>
      <c r="C67" s="891"/>
      <c r="D67" s="891"/>
      <c r="E67" s="891"/>
      <c r="F67" s="891"/>
      <c r="G67" s="891"/>
      <c r="H67" s="891"/>
      <c r="I67" s="891"/>
      <c r="J67" s="891"/>
      <c r="K67" s="891"/>
      <c r="L67" s="891"/>
      <c r="M67" s="891"/>
      <c r="N67" s="891"/>
      <c r="O67" s="891"/>
      <c r="P67" s="891"/>
      <c r="Q67" s="891"/>
      <c r="R67" s="891"/>
      <c r="S67" s="891"/>
      <c r="T67" s="891"/>
      <c r="U67" s="891"/>
      <c r="V67" s="891"/>
      <c r="W67" s="891"/>
      <c r="X67" s="891"/>
      <c r="Y67" s="631"/>
      <c r="Z67" s="631"/>
      <c r="AA67" s="631"/>
      <c r="AB67" s="631"/>
    </row>
    <row r="68" spans="1:28" s="48" customFormat="1" x14ac:dyDescent="0.25">
      <c r="B68" s="891"/>
      <c r="C68" s="891"/>
      <c r="D68" s="891"/>
      <c r="E68" s="891"/>
      <c r="F68" s="891"/>
      <c r="G68" s="891"/>
      <c r="H68" s="891"/>
      <c r="I68" s="891"/>
      <c r="J68" s="891"/>
      <c r="K68" s="891"/>
      <c r="L68" s="891"/>
      <c r="M68" s="891"/>
      <c r="N68" s="891"/>
      <c r="O68" s="891"/>
      <c r="P68" s="891"/>
      <c r="Q68" s="891"/>
      <c r="R68" s="891"/>
      <c r="S68" s="891"/>
      <c r="T68" s="891"/>
      <c r="U68" s="891"/>
      <c r="V68" s="891"/>
      <c r="W68" s="891"/>
      <c r="X68" s="891"/>
      <c r="Y68" s="631"/>
      <c r="Z68" s="631"/>
      <c r="AA68" s="631"/>
      <c r="AB68" s="631"/>
    </row>
    <row r="69" spans="1:28" s="48" customFormat="1" x14ac:dyDescent="0.25">
      <c r="B69" s="891"/>
      <c r="C69" s="891"/>
      <c r="D69" s="891"/>
      <c r="E69" s="891"/>
      <c r="F69" s="891"/>
      <c r="G69" s="891"/>
      <c r="H69" s="891"/>
      <c r="I69" s="891"/>
      <c r="J69" s="891"/>
      <c r="K69" s="891"/>
      <c r="L69" s="891"/>
      <c r="M69" s="891"/>
      <c r="N69" s="891"/>
      <c r="O69" s="891"/>
      <c r="P69" s="891"/>
      <c r="Q69" s="891"/>
      <c r="R69" s="891"/>
      <c r="S69" s="891"/>
      <c r="T69" s="891"/>
      <c r="U69" s="891"/>
      <c r="V69" s="891"/>
      <c r="W69" s="891"/>
      <c r="X69" s="891"/>
      <c r="Y69" s="631"/>
      <c r="Z69" s="631"/>
      <c r="AA69" s="631"/>
      <c r="AB69" s="631"/>
    </row>
    <row r="70" spans="1:28" s="48" customFormat="1" x14ac:dyDescent="0.25">
      <c r="B70" s="891"/>
      <c r="C70" s="891"/>
      <c r="D70" s="891"/>
      <c r="E70" s="891"/>
      <c r="F70" s="891"/>
      <c r="G70" s="891"/>
      <c r="H70" s="891"/>
      <c r="I70" s="891"/>
      <c r="J70" s="891"/>
      <c r="K70" s="891"/>
      <c r="L70" s="891"/>
      <c r="M70" s="891"/>
      <c r="N70" s="891"/>
      <c r="O70" s="891"/>
      <c r="P70" s="891"/>
      <c r="Q70" s="891"/>
      <c r="R70" s="891"/>
      <c r="S70" s="891"/>
      <c r="T70" s="891"/>
      <c r="U70" s="891"/>
      <c r="V70" s="891"/>
      <c r="W70" s="891"/>
      <c r="X70" s="891"/>
      <c r="Y70" s="631"/>
      <c r="Z70" s="631"/>
      <c r="AA70" s="631"/>
      <c r="AB70" s="631"/>
    </row>
    <row r="71" spans="1:28" s="48" customFormat="1" ht="16.5" customHeight="1" x14ac:dyDescent="0.25">
      <c r="B71" s="1386"/>
      <c r="C71" s="1300"/>
      <c r="D71" s="1243"/>
      <c r="E71" s="1230"/>
      <c r="F71" s="1197"/>
      <c r="G71" s="1197"/>
      <c r="H71" s="1243"/>
      <c r="I71" s="1230"/>
      <c r="J71" s="1230"/>
      <c r="K71" s="1230"/>
      <c r="L71" s="690"/>
      <c r="M71" s="690"/>
      <c r="N71" s="690"/>
      <c r="X71" s="631"/>
      <c r="Y71" s="631"/>
      <c r="Z71" s="631"/>
      <c r="AA71" s="631"/>
      <c r="AB71" s="631"/>
    </row>
    <row r="72" spans="1:28" s="48" customFormat="1" x14ac:dyDescent="0.25">
      <c r="B72" s="1386"/>
      <c r="C72" s="1300"/>
      <c r="D72" s="1243"/>
      <c r="E72" s="1230"/>
      <c r="F72" s="1197"/>
      <c r="G72" s="1197"/>
      <c r="H72" s="1243"/>
      <c r="I72" s="1230"/>
      <c r="J72" s="1230"/>
      <c r="K72" s="1230"/>
      <c r="L72" s="690"/>
      <c r="M72" s="690"/>
      <c r="N72" s="690"/>
      <c r="X72" s="631"/>
      <c r="Y72" s="631"/>
      <c r="Z72" s="631"/>
      <c r="AA72" s="631"/>
      <c r="AB72" s="631"/>
    </row>
    <row r="73" spans="1:28" s="48" customFormat="1" x14ac:dyDescent="0.25">
      <c r="B73" s="1386"/>
      <c r="C73" s="1300"/>
      <c r="D73" s="1243"/>
      <c r="E73" s="1230"/>
      <c r="F73" s="1197"/>
      <c r="G73" s="1197"/>
      <c r="H73" s="1243"/>
      <c r="I73" s="1230"/>
      <c r="J73" s="1230"/>
      <c r="K73" s="1230"/>
      <c r="L73" s="690"/>
      <c r="M73" s="690"/>
      <c r="N73" s="690"/>
      <c r="X73" s="631"/>
      <c r="Y73" s="631"/>
      <c r="Z73" s="631"/>
      <c r="AA73" s="631"/>
      <c r="AB73" s="631"/>
    </row>
    <row r="74" spans="1:28" s="48" customFormat="1" x14ac:dyDescent="0.25">
      <c r="B74" s="1386"/>
      <c r="C74" s="1300"/>
      <c r="D74" s="1243"/>
      <c r="E74" s="1230"/>
      <c r="F74" s="1197"/>
      <c r="G74" s="1197"/>
      <c r="H74" s="1243"/>
      <c r="I74" s="1230"/>
      <c r="J74" s="1230"/>
      <c r="K74" s="1230"/>
      <c r="L74" s="690"/>
      <c r="M74" s="690"/>
      <c r="N74" s="690"/>
      <c r="X74" s="631"/>
      <c r="Y74" s="631"/>
      <c r="Z74" s="631"/>
      <c r="AA74" s="631"/>
      <c r="AB74" s="631"/>
    </row>
    <row r="75" spans="1:28" s="48" customFormat="1" x14ac:dyDescent="0.25">
      <c r="B75" s="1386"/>
      <c r="C75" s="1300"/>
      <c r="D75" s="1243"/>
      <c r="E75" s="1230"/>
      <c r="F75" s="1197"/>
      <c r="G75" s="1197"/>
      <c r="H75" s="1243"/>
      <c r="I75" s="1230"/>
      <c r="J75" s="1230"/>
      <c r="K75" s="1230"/>
      <c r="L75" s="690"/>
      <c r="M75" s="690"/>
      <c r="N75" s="690"/>
      <c r="X75" s="631"/>
      <c r="Y75" s="631"/>
      <c r="Z75" s="631"/>
      <c r="AA75" s="631"/>
      <c r="AB75" s="631"/>
    </row>
    <row r="76" spans="1:28" s="48" customFormat="1" x14ac:dyDescent="0.25">
      <c r="B76" s="1386"/>
      <c r="C76" s="1300"/>
      <c r="D76" s="1243"/>
      <c r="E76" s="1230"/>
      <c r="F76" s="1197"/>
      <c r="G76" s="1197"/>
      <c r="H76" s="1243"/>
      <c r="I76" s="1230"/>
      <c r="J76" s="1230"/>
      <c r="K76" s="1230"/>
      <c r="L76" s="690"/>
      <c r="M76" s="690"/>
      <c r="N76" s="690"/>
      <c r="X76" s="631"/>
      <c r="Y76" s="631"/>
      <c r="Z76" s="631"/>
      <c r="AA76" s="631"/>
      <c r="AB76" s="631"/>
    </row>
    <row r="77" spans="1:28" s="48" customFormat="1" x14ac:dyDescent="0.25">
      <c r="B77" s="1386"/>
      <c r="C77" s="1300"/>
      <c r="D77" s="1243"/>
      <c r="E77" s="1230"/>
      <c r="F77" s="1197"/>
      <c r="G77" s="1197"/>
      <c r="H77" s="1243"/>
      <c r="I77" s="1230"/>
      <c r="J77" s="1230"/>
      <c r="K77" s="1230"/>
      <c r="L77" s="690"/>
      <c r="M77" s="690"/>
      <c r="N77" s="690"/>
      <c r="X77" s="631"/>
      <c r="Y77" s="631"/>
      <c r="Z77" s="631"/>
      <c r="AA77" s="631"/>
      <c r="AB77" s="631"/>
    </row>
    <row r="78" spans="1:28" s="48" customFormat="1" x14ac:dyDescent="0.25">
      <c r="B78" s="1386"/>
      <c r="C78" s="1300"/>
      <c r="D78" s="1243"/>
      <c r="E78" s="1230"/>
      <c r="F78" s="1197"/>
      <c r="G78" s="1197"/>
      <c r="H78" s="1243"/>
      <c r="I78" s="1230"/>
      <c r="J78" s="1230"/>
      <c r="K78" s="1230"/>
      <c r="L78" s="690"/>
      <c r="M78" s="690"/>
      <c r="N78" s="690"/>
      <c r="X78" s="631"/>
      <c r="Y78" s="631"/>
      <c r="Z78" s="631"/>
      <c r="AA78" s="631"/>
      <c r="AB78" s="631"/>
    </row>
    <row r="79" spans="1:28" s="48" customFormat="1" x14ac:dyDescent="0.25">
      <c r="B79" s="1386"/>
      <c r="C79" s="1300"/>
      <c r="D79" s="1243"/>
      <c r="E79" s="1230"/>
      <c r="F79" s="1197"/>
      <c r="G79" s="1197"/>
      <c r="H79" s="1243"/>
      <c r="I79" s="1230"/>
      <c r="J79" s="1230"/>
      <c r="K79" s="1230"/>
      <c r="L79" s="690"/>
      <c r="M79" s="690"/>
      <c r="N79" s="690"/>
      <c r="X79" s="631"/>
      <c r="Y79" s="631"/>
      <c r="Z79" s="631"/>
      <c r="AA79" s="631"/>
      <c r="AB79" s="631"/>
    </row>
    <row r="80" spans="1:28" s="48" customFormat="1" x14ac:dyDescent="0.25">
      <c r="B80" s="1386"/>
      <c r="C80" s="1300"/>
      <c r="D80" s="1243"/>
      <c r="E80" s="1230"/>
      <c r="F80" s="1197"/>
      <c r="G80" s="1197"/>
      <c r="H80" s="1243"/>
      <c r="I80" s="1230"/>
      <c r="J80" s="1230"/>
      <c r="K80" s="1230"/>
      <c r="L80" s="690"/>
      <c r="M80" s="690"/>
      <c r="N80" s="690"/>
      <c r="X80" s="631"/>
      <c r="Y80" s="631"/>
      <c r="Z80" s="631"/>
      <c r="AA80" s="631"/>
      <c r="AB80" s="631"/>
    </row>
    <row r="81" spans="2:28" s="48" customFormat="1" x14ac:dyDescent="0.25">
      <c r="B81" s="1386"/>
      <c r="C81" s="1300"/>
      <c r="D81" s="1243"/>
      <c r="E81" s="1230"/>
      <c r="F81" s="1197"/>
      <c r="G81" s="1197"/>
      <c r="H81" s="1243"/>
      <c r="I81" s="1230"/>
      <c r="J81" s="1230"/>
      <c r="K81" s="1230"/>
      <c r="L81" s="690"/>
      <c r="M81" s="690"/>
      <c r="N81" s="690"/>
      <c r="X81" s="631"/>
      <c r="Y81" s="631"/>
      <c r="Z81" s="631"/>
      <c r="AA81" s="631"/>
      <c r="AB81" s="631"/>
    </row>
    <row r="82" spans="2:28" s="48" customFormat="1" x14ac:dyDescent="0.25">
      <c r="B82" s="1386"/>
      <c r="C82" s="1300"/>
      <c r="D82" s="1243"/>
      <c r="E82" s="1230"/>
      <c r="F82" s="1197"/>
      <c r="G82" s="1197"/>
      <c r="H82" s="1243"/>
      <c r="I82" s="1230"/>
      <c r="J82" s="1230"/>
      <c r="K82" s="1230"/>
      <c r="L82" s="690"/>
      <c r="M82" s="690"/>
      <c r="N82" s="690"/>
      <c r="X82" s="631"/>
      <c r="Y82" s="631"/>
      <c r="Z82" s="631"/>
      <c r="AA82" s="631"/>
      <c r="AB82" s="631"/>
    </row>
    <row r="83" spans="2:28" s="48" customFormat="1" x14ac:dyDescent="0.25">
      <c r="B83" s="1386"/>
      <c r="C83" s="1300"/>
      <c r="D83" s="1243"/>
      <c r="E83" s="1230"/>
      <c r="F83" s="1197"/>
      <c r="G83" s="1197"/>
      <c r="H83" s="1243"/>
      <c r="I83" s="1230"/>
      <c r="J83" s="1230"/>
      <c r="K83" s="1230"/>
      <c r="L83" s="690"/>
      <c r="M83" s="690"/>
      <c r="N83" s="690"/>
      <c r="X83" s="631"/>
      <c r="Y83" s="631"/>
      <c r="Z83" s="631"/>
      <c r="AA83" s="631"/>
      <c r="AB83" s="631"/>
    </row>
    <row r="84" spans="2:28" s="48" customFormat="1" x14ac:dyDescent="0.25">
      <c r="B84" s="1386"/>
      <c r="C84" s="1300"/>
      <c r="D84" s="1243"/>
      <c r="E84" s="1230"/>
      <c r="F84" s="1197"/>
      <c r="G84" s="1197"/>
      <c r="H84" s="1243"/>
      <c r="I84" s="1230"/>
      <c r="J84" s="1230"/>
      <c r="K84" s="1230"/>
      <c r="L84" s="690"/>
      <c r="M84" s="690"/>
      <c r="N84" s="690"/>
      <c r="X84" s="631"/>
      <c r="Y84" s="631"/>
      <c r="Z84" s="631"/>
      <c r="AA84" s="631"/>
      <c r="AB84" s="631"/>
    </row>
    <row r="85" spans="2:28" s="48" customFormat="1" x14ac:dyDescent="0.25">
      <c r="B85" s="1386"/>
      <c r="C85" s="1300"/>
      <c r="D85" s="1243"/>
      <c r="E85" s="1230"/>
      <c r="F85" s="1197"/>
      <c r="G85" s="1197"/>
      <c r="H85" s="1243"/>
      <c r="I85" s="1230"/>
      <c r="J85" s="1230"/>
      <c r="K85" s="1230"/>
      <c r="L85" s="690"/>
      <c r="M85" s="690"/>
      <c r="N85" s="690"/>
      <c r="X85" s="631"/>
      <c r="Y85" s="631"/>
      <c r="Z85" s="631"/>
      <c r="AA85" s="631"/>
      <c r="AB85" s="631"/>
    </row>
    <row r="86" spans="2:28" s="48" customFormat="1" x14ac:dyDescent="0.25">
      <c r="B86" s="1386"/>
      <c r="C86" s="1300"/>
      <c r="D86" s="1243"/>
      <c r="E86" s="1230"/>
      <c r="F86" s="1197"/>
      <c r="G86" s="1197"/>
      <c r="H86" s="1243"/>
      <c r="I86" s="1230"/>
      <c r="J86" s="1230"/>
      <c r="K86" s="1230"/>
      <c r="L86" s="690"/>
      <c r="M86" s="690"/>
      <c r="N86" s="690"/>
      <c r="X86" s="631"/>
      <c r="Y86" s="631"/>
      <c r="Z86" s="631"/>
      <c r="AA86" s="631"/>
      <c r="AB86" s="631"/>
    </row>
    <row r="87" spans="2:28" s="48" customFormat="1" x14ac:dyDescent="0.25">
      <c r="B87" s="1386"/>
      <c r="C87" s="1300"/>
      <c r="D87" s="1243"/>
      <c r="E87" s="1230"/>
      <c r="F87" s="1197"/>
      <c r="G87" s="1197"/>
      <c r="H87" s="1243"/>
      <c r="I87" s="1230"/>
      <c r="J87" s="1230"/>
      <c r="K87" s="1230"/>
      <c r="L87" s="690"/>
      <c r="M87" s="690"/>
      <c r="N87" s="690"/>
      <c r="X87" s="631"/>
      <c r="Y87" s="631"/>
      <c r="Z87" s="631"/>
      <c r="AA87" s="631"/>
      <c r="AB87" s="631"/>
    </row>
    <row r="88" spans="2:28" s="48" customFormat="1" x14ac:dyDescent="0.25">
      <c r="B88" s="1386"/>
      <c r="C88" s="1300"/>
      <c r="D88" s="1243"/>
      <c r="E88" s="1230"/>
      <c r="F88" s="1197"/>
      <c r="G88" s="1197"/>
      <c r="H88" s="1243"/>
      <c r="I88" s="1230"/>
      <c r="J88" s="1230"/>
      <c r="K88" s="1230"/>
      <c r="L88" s="690"/>
      <c r="M88" s="690"/>
      <c r="N88" s="690"/>
      <c r="X88" s="631"/>
      <c r="Y88" s="631"/>
      <c r="Z88" s="631"/>
      <c r="AA88" s="631"/>
      <c r="AB88" s="631"/>
    </row>
    <row r="89" spans="2:28" s="48" customFormat="1" x14ac:dyDescent="0.25">
      <c r="B89" s="1386"/>
      <c r="C89" s="1300"/>
      <c r="D89" s="1243"/>
      <c r="E89" s="1230"/>
      <c r="F89" s="1197"/>
      <c r="G89" s="1197"/>
      <c r="H89" s="1243"/>
      <c r="I89" s="1230"/>
      <c r="J89" s="1230"/>
      <c r="K89" s="1230"/>
      <c r="L89" s="690"/>
      <c r="M89" s="690"/>
      <c r="N89" s="690"/>
      <c r="X89" s="631"/>
      <c r="Y89" s="631"/>
      <c r="Z89" s="631"/>
      <c r="AA89" s="631"/>
      <c r="AB89" s="631"/>
    </row>
    <row r="90" spans="2:28" s="48" customFormat="1" x14ac:dyDescent="0.25">
      <c r="B90" s="1386"/>
      <c r="C90" s="1300"/>
      <c r="D90" s="1243"/>
      <c r="E90" s="1230"/>
      <c r="F90" s="1197"/>
      <c r="G90" s="1197"/>
      <c r="H90" s="1243"/>
      <c r="I90" s="1230"/>
      <c r="J90" s="1230"/>
      <c r="K90" s="1230"/>
      <c r="L90" s="690"/>
      <c r="M90" s="690"/>
      <c r="N90" s="690"/>
      <c r="X90" s="631"/>
      <c r="Y90" s="631"/>
      <c r="Z90" s="631"/>
      <c r="AA90" s="631"/>
      <c r="AB90" s="631"/>
    </row>
    <row r="91" spans="2:28" s="48" customFormat="1" x14ac:dyDescent="0.25">
      <c r="B91" s="1386"/>
      <c r="C91" s="1300"/>
      <c r="D91" s="1243"/>
      <c r="E91" s="1230"/>
      <c r="F91" s="1197"/>
      <c r="G91" s="1197"/>
      <c r="H91" s="1243"/>
      <c r="I91" s="1230"/>
      <c r="J91" s="1230"/>
      <c r="K91" s="1230"/>
      <c r="L91" s="690"/>
      <c r="M91" s="690"/>
      <c r="N91" s="690"/>
      <c r="X91" s="631"/>
      <c r="Y91" s="631"/>
      <c r="Z91" s="631"/>
      <c r="AA91" s="631"/>
      <c r="AB91" s="631"/>
    </row>
    <row r="92" spans="2:28" s="48" customFormat="1" x14ac:dyDescent="0.25">
      <c r="B92" s="1386"/>
      <c r="C92" s="1300"/>
      <c r="D92" s="1243"/>
      <c r="E92" s="1230"/>
      <c r="F92" s="1197"/>
      <c r="G92" s="1197"/>
      <c r="H92" s="1243"/>
      <c r="I92" s="1230"/>
      <c r="J92" s="1230"/>
      <c r="K92" s="1230"/>
      <c r="L92" s="690"/>
      <c r="M92" s="690"/>
      <c r="N92" s="690"/>
      <c r="X92" s="631"/>
      <c r="Y92" s="631"/>
      <c r="Z92" s="631"/>
      <c r="AA92" s="631"/>
      <c r="AB92" s="631"/>
    </row>
    <row r="93" spans="2:28" s="48" customFormat="1" x14ac:dyDescent="0.25">
      <c r="B93" s="1386"/>
      <c r="C93" s="1300"/>
      <c r="D93" s="1243"/>
      <c r="E93" s="1230"/>
      <c r="F93" s="1197"/>
      <c r="G93" s="1197"/>
      <c r="H93" s="1243"/>
      <c r="I93" s="1230"/>
      <c r="J93" s="1230"/>
      <c r="K93" s="1230"/>
      <c r="L93" s="690"/>
      <c r="M93" s="690"/>
      <c r="N93" s="690"/>
      <c r="X93" s="631"/>
      <c r="Y93" s="631"/>
      <c r="Z93" s="631"/>
      <c r="AA93" s="631"/>
      <c r="AB93" s="631"/>
    </row>
    <row r="94" spans="2:28" s="48" customFormat="1" x14ac:dyDescent="0.25">
      <c r="B94" s="1386"/>
      <c r="C94" s="1300"/>
      <c r="D94" s="1243"/>
      <c r="E94" s="1230"/>
      <c r="F94" s="1197"/>
      <c r="G94" s="1197"/>
      <c r="H94" s="1243"/>
      <c r="I94" s="1230"/>
      <c r="J94" s="1230"/>
      <c r="K94" s="1230"/>
      <c r="L94" s="690"/>
      <c r="M94" s="690"/>
      <c r="N94" s="690"/>
      <c r="X94" s="631"/>
      <c r="Y94" s="631"/>
      <c r="Z94" s="631"/>
      <c r="AA94" s="631"/>
      <c r="AB94" s="631"/>
    </row>
    <row r="95" spans="2:28" s="48" customFormat="1" x14ac:dyDescent="0.25">
      <c r="B95" s="1386"/>
      <c r="C95" s="1300"/>
      <c r="D95" s="1243"/>
      <c r="E95" s="1230"/>
      <c r="F95" s="1197"/>
      <c r="G95" s="1197"/>
      <c r="H95" s="1243"/>
      <c r="I95" s="1230"/>
      <c r="J95" s="1230"/>
      <c r="K95" s="1230"/>
      <c r="L95" s="690"/>
      <c r="M95" s="690"/>
      <c r="N95" s="690"/>
      <c r="X95" s="631"/>
      <c r="Y95" s="631"/>
      <c r="Z95" s="631"/>
      <c r="AA95" s="631"/>
      <c r="AB95" s="631"/>
    </row>
    <row r="96" spans="2:28" s="48" customFormat="1" x14ac:dyDescent="0.25">
      <c r="B96" s="1386"/>
      <c r="C96" s="1300"/>
      <c r="D96" s="1243"/>
      <c r="E96" s="1230"/>
      <c r="F96" s="1197"/>
      <c r="G96" s="1197"/>
      <c r="H96" s="1243"/>
      <c r="I96" s="1230"/>
      <c r="J96" s="1230"/>
      <c r="K96" s="1230"/>
      <c r="L96" s="690"/>
      <c r="M96" s="690"/>
      <c r="N96" s="690"/>
      <c r="X96" s="631"/>
      <c r="Y96" s="631"/>
      <c r="Z96" s="631"/>
      <c r="AA96" s="631"/>
      <c r="AB96" s="631"/>
    </row>
    <row r="97" spans="2:28" s="48" customFormat="1" x14ac:dyDescent="0.25">
      <c r="B97" s="1386"/>
      <c r="C97" s="1300"/>
      <c r="D97" s="1243"/>
      <c r="E97" s="1230"/>
      <c r="F97" s="1197"/>
      <c r="G97" s="1197"/>
      <c r="H97" s="1243"/>
      <c r="I97" s="1230"/>
      <c r="J97" s="1230"/>
      <c r="K97" s="1230"/>
      <c r="L97" s="690"/>
      <c r="M97" s="690"/>
      <c r="N97" s="690"/>
      <c r="X97" s="631"/>
      <c r="Y97" s="631"/>
      <c r="Z97" s="631"/>
      <c r="AA97" s="631"/>
      <c r="AB97" s="631"/>
    </row>
    <row r="98" spans="2:28" s="48" customFormat="1" x14ac:dyDescent="0.25">
      <c r="B98" s="1386"/>
      <c r="C98" s="1300"/>
      <c r="D98" s="1243"/>
      <c r="E98" s="1230"/>
      <c r="F98" s="1197"/>
      <c r="G98" s="1197"/>
      <c r="H98" s="1243"/>
      <c r="I98" s="1230"/>
      <c r="J98" s="1230"/>
      <c r="K98" s="1230"/>
      <c r="L98" s="690"/>
      <c r="M98" s="690"/>
      <c r="N98" s="690"/>
      <c r="X98" s="631"/>
      <c r="Y98" s="631"/>
      <c r="Z98" s="631"/>
      <c r="AA98" s="631"/>
      <c r="AB98" s="631"/>
    </row>
    <row r="99" spans="2:28" s="48" customFormat="1" x14ac:dyDescent="0.25">
      <c r="B99" s="1386"/>
      <c r="C99" s="1300"/>
      <c r="D99" s="1243"/>
      <c r="E99" s="1230"/>
      <c r="F99" s="1197"/>
      <c r="G99" s="1197"/>
      <c r="H99" s="1243"/>
      <c r="I99" s="1230"/>
      <c r="J99" s="1230"/>
      <c r="K99" s="1230"/>
      <c r="L99" s="690"/>
      <c r="M99" s="690"/>
      <c r="N99" s="690"/>
      <c r="X99" s="631"/>
      <c r="Y99" s="631"/>
      <c r="Z99" s="631"/>
      <c r="AA99" s="631"/>
      <c r="AB99" s="631"/>
    </row>
    <row r="100" spans="2:28" s="48" customFormat="1" x14ac:dyDescent="0.25">
      <c r="B100" s="1386"/>
      <c r="C100" s="1300"/>
      <c r="D100" s="1243"/>
      <c r="E100" s="1230"/>
      <c r="F100" s="1197"/>
      <c r="G100" s="1197"/>
      <c r="H100" s="1243"/>
      <c r="I100" s="1230"/>
      <c r="J100" s="1230"/>
      <c r="K100" s="1230"/>
      <c r="L100" s="690"/>
      <c r="M100" s="690"/>
      <c r="N100" s="690"/>
      <c r="X100" s="631"/>
      <c r="Y100" s="631"/>
      <c r="Z100" s="631"/>
      <c r="AA100" s="631"/>
      <c r="AB100" s="631"/>
    </row>
    <row r="101" spans="2:28" s="48" customFormat="1" x14ac:dyDescent="0.25">
      <c r="B101" s="1386"/>
      <c r="C101" s="1300"/>
      <c r="D101" s="1243"/>
      <c r="E101" s="1230"/>
      <c r="F101" s="1197"/>
      <c r="G101" s="1197"/>
      <c r="H101" s="1243"/>
      <c r="I101" s="1230"/>
      <c r="J101" s="1230"/>
      <c r="K101" s="1230"/>
      <c r="L101" s="690"/>
      <c r="M101" s="690"/>
      <c r="N101" s="690"/>
      <c r="X101" s="631"/>
      <c r="Y101" s="631"/>
      <c r="Z101" s="631"/>
      <c r="AA101" s="631"/>
      <c r="AB101" s="631"/>
    </row>
    <row r="102" spans="2:28" s="48" customFormat="1" x14ac:dyDescent="0.25">
      <c r="B102" s="1386"/>
      <c r="C102" s="1300"/>
      <c r="D102" s="1243"/>
      <c r="E102" s="1230"/>
      <c r="F102" s="1197"/>
      <c r="G102" s="1197"/>
      <c r="H102" s="1243"/>
      <c r="I102" s="1230"/>
      <c r="J102" s="1230"/>
      <c r="K102" s="1230"/>
      <c r="L102" s="690"/>
      <c r="M102" s="690"/>
      <c r="N102" s="690"/>
      <c r="X102" s="631"/>
      <c r="Y102" s="631"/>
      <c r="Z102" s="631"/>
      <c r="AA102" s="631"/>
      <c r="AB102" s="631"/>
    </row>
    <row r="103" spans="2:28" s="48" customFormat="1" x14ac:dyDescent="0.25">
      <c r="B103" s="1386"/>
      <c r="C103" s="1300"/>
      <c r="D103" s="1243"/>
      <c r="E103" s="1230"/>
      <c r="F103" s="1197"/>
      <c r="G103" s="1197"/>
      <c r="H103" s="1243"/>
      <c r="I103" s="1230"/>
      <c r="J103" s="1230"/>
      <c r="K103" s="1230"/>
      <c r="L103" s="690"/>
      <c r="M103" s="690"/>
      <c r="N103" s="690"/>
      <c r="X103" s="631"/>
      <c r="Y103" s="631"/>
      <c r="Z103" s="631"/>
      <c r="AA103" s="631"/>
      <c r="AB103" s="631"/>
    </row>
    <row r="104" spans="2:28" s="48" customFormat="1" x14ac:dyDescent="0.25">
      <c r="B104" s="1386"/>
      <c r="C104" s="1300"/>
      <c r="D104" s="1243"/>
      <c r="E104" s="1230"/>
      <c r="F104" s="1197"/>
      <c r="G104" s="1197"/>
      <c r="H104" s="1243"/>
      <c r="I104" s="1230"/>
      <c r="J104" s="1230"/>
      <c r="K104" s="1230"/>
      <c r="L104" s="690"/>
      <c r="M104" s="690"/>
      <c r="N104" s="690"/>
      <c r="X104" s="631"/>
      <c r="Y104" s="631"/>
      <c r="Z104" s="631"/>
      <c r="AA104" s="631"/>
      <c r="AB104" s="631"/>
    </row>
    <row r="105" spans="2:28" s="48" customFormat="1" x14ac:dyDescent="0.25">
      <c r="B105" s="1386"/>
      <c r="C105" s="1300"/>
      <c r="D105" s="1243"/>
      <c r="E105" s="1230"/>
      <c r="F105" s="1197"/>
      <c r="G105" s="1197"/>
      <c r="H105" s="1243"/>
      <c r="I105" s="1230"/>
      <c r="J105" s="1230"/>
      <c r="K105" s="1230"/>
      <c r="L105" s="690"/>
      <c r="M105" s="690"/>
      <c r="N105" s="690"/>
      <c r="X105" s="631"/>
      <c r="Y105" s="631"/>
      <c r="Z105" s="631"/>
      <c r="AA105" s="631"/>
      <c r="AB105" s="631"/>
    </row>
    <row r="106" spans="2:28" s="48" customFormat="1" x14ac:dyDescent="0.25">
      <c r="B106" s="1386"/>
      <c r="C106" s="1300"/>
      <c r="D106" s="1243"/>
      <c r="E106" s="1230"/>
      <c r="F106" s="1197"/>
      <c r="G106" s="1197"/>
      <c r="H106" s="1243"/>
      <c r="I106" s="1230"/>
      <c r="J106" s="1230"/>
      <c r="K106" s="1230"/>
      <c r="L106" s="690"/>
      <c r="M106" s="690"/>
      <c r="N106" s="690"/>
      <c r="X106" s="631"/>
      <c r="Y106" s="631"/>
      <c r="Z106" s="631"/>
      <c r="AA106" s="631"/>
      <c r="AB106" s="631"/>
    </row>
    <row r="107" spans="2:28" s="48" customFormat="1" x14ac:dyDescent="0.25">
      <c r="B107" s="1386"/>
      <c r="C107" s="1300"/>
      <c r="D107" s="1243"/>
      <c r="E107" s="1230"/>
      <c r="F107" s="1197"/>
      <c r="G107" s="1197"/>
      <c r="H107" s="1243"/>
      <c r="I107" s="1230"/>
      <c r="J107" s="1230"/>
      <c r="K107" s="1230"/>
      <c r="L107" s="690"/>
      <c r="M107" s="690"/>
      <c r="N107" s="690"/>
      <c r="X107" s="631"/>
      <c r="Y107" s="631"/>
      <c r="Z107" s="631"/>
      <c r="AA107" s="631"/>
      <c r="AB107" s="631"/>
    </row>
    <row r="108" spans="2:28" s="48" customFormat="1" x14ac:dyDescent="0.25">
      <c r="B108" s="1386"/>
      <c r="C108" s="1300"/>
      <c r="D108" s="1243"/>
      <c r="E108" s="1230"/>
      <c r="F108" s="1197"/>
      <c r="G108" s="1197"/>
      <c r="H108" s="1243"/>
      <c r="I108" s="1230"/>
      <c r="J108" s="1230"/>
      <c r="K108" s="1230"/>
      <c r="L108" s="690"/>
      <c r="M108" s="690"/>
      <c r="N108" s="690"/>
      <c r="X108" s="631"/>
      <c r="Y108" s="631"/>
      <c r="Z108" s="631"/>
      <c r="AA108" s="631"/>
      <c r="AB108" s="631"/>
    </row>
    <row r="109" spans="2:28" s="48" customFormat="1" x14ac:dyDescent="0.25">
      <c r="B109" s="1386"/>
      <c r="C109" s="1300"/>
      <c r="D109" s="1243"/>
      <c r="E109" s="1230"/>
      <c r="F109" s="1197"/>
      <c r="G109" s="1197"/>
      <c r="H109" s="1243"/>
      <c r="I109" s="1230"/>
      <c r="J109" s="1230"/>
      <c r="K109" s="1230"/>
      <c r="L109" s="690"/>
      <c r="M109" s="690"/>
      <c r="N109" s="690"/>
      <c r="X109" s="631"/>
      <c r="Y109" s="631"/>
      <c r="Z109" s="631"/>
      <c r="AA109" s="631"/>
      <c r="AB109" s="631"/>
    </row>
    <row r="110" spans="2:28" s="48" customFormat="1" x14ac:dyDescent="0.25">
      <c r="B110" s="1386"/>
      <c r="C110" s="1300"/>
      <c r="D110" s="1243"/>
      <c r="E110" s="1230"/>
      <c r="F110" s="1197"/>
      <c r="G110" s="1197"/>
      <c r="H110" s="1243"/>
      <c r="I110" s="1230"/>
      <c r="J110" s="1230"/>
      <c r="K110" s="1230"/>
      <c r="L110" s="690"/>
      <c r="M110" s="690"/>
      <c r="N110" s="690"/>
      <c r="X110" s="631"/>
      <c r="Y110" s="631"/>
      <c r="Z110" s="631"/>
      <c r="AA110" s="631"/>
      <c r="AB110" s="631"/>
    </row>
    <row r="111" spans="2:28" s="48" customFormat="1" x14ac:dyDescent="0.25">
      <c r="B111" s="1386"/>
      <c r="C111" s="1300"/>
      <c r="D111" s="1243"/>
      <c r="E111" s="1230"/>
      <c r="F111" s="1197"/>
      <c r="G111" s="1197"/>
      <c r="H111" s="1243"/>
      <c r="I111" s="1230"/>
      <c r="J111" s="1230"/>
      <c r="K111" s="1230"/>
      <c r="L111" s="690"/>
      <c r="M111" s="690"/>
      <c r="N111" s="690"/>
      <c r="X111" s="631"/>
      <c r="Y111" s="631"/>
      <c r="Z111" s="631"/>
      <c r="AA111" s="631"/>
      <c r="AB111" s="631"/>
    </row>
    <row r="112" spans="2:28" s="48" customFormat="1" x14ac:dyDescent="0.25">
      <c r="B112" s="1386"/>
      <c r="C112" s="1300"/>
      <c r="D112" s="1243"/>
      <c r="E112" s="1230"/>
      <c r="F112" s="1197"/>
      <c r="G112" s="1197"/>
      <c r="H112" s="1243"/>
      <c r="I112" s="1230"/>
      <c r="J112" s="1230"/>
      <c r="K112" s="1230"/>
      <c r="L112" s="690"/>
      <c r="M112" s="690"/>
      <c r="N112" s="690"/>
      <c r="X112" s="631"/>
      <c r="Y112" s="631"/>
      <c r="Z112" s="631"/>
      <c r="AA112" s="631"/>
      <c r="AB112" s="631"/>
    </row>
    <row r="113" spans="2:28" s="48" customFormat="1" x14ac:dyDescent="0.25">
      <c r="B113" s="1386"/>
      <c r="C113" s="1300"/>
      <c r="D113" s="1243"/>
      <c r="E113" s="1230"/>
      <c r="F113" s="1197"/>
      <c r="G113" s="1197"/>
      <c r="H113" s="1243"/>
      <c r="I113" s="1230"/>
      <c r="J113" s="1230"/>
      <c r="K113" s="1230"/>
      <c r="L113" s="690"/>
      <c r="M113" s="690"/>
      <c r="N113" s="690"/>
      <c r="X113" s="631"/>
      <c r="Y113" s="631"/>
      <c r="Z113" s="631"/>
      <c r="AA113" s="631"/>
      <c r="AB113" s="631"/>
    </row>
    <row r="114" spans="2:28" s="48" customFormat="1" x14ac:dyDescent="0.25">
      <c r="B114" s="1386"/>
      <c r="C114" s="1300"/>
      <c r="D114" s="1243"/>
      <c r="E114" s="1230"/>
      <c r="F114" s="1197"/>
      <c r="G114" s="1197"/>
      <c r="H114" s="1243"/>
      <c r="I114" s="1230"/>
      <c r="J114" s="1230"/>
      <c r="K114" s="1230"/>
      <c r="L114" s="690"/>
      <c r="M114" s="690"/>
      <c r="N114" s="690"/>
      <c r="X114" s="631"/>
      <c r="Y114" s="631"/>
      <c r="Z114" s="631"/>
      <c r="AA114" s="631"/>
      <c r="AB114" s="631"/>
    </row>
    <row r="115" spans="2:28" s="48" customFormat="1" x14ac:dyDescent="0.25">
      <c r="B115" s="1386"/>
      <c r="C115" s="1300"/>
      <c r="D115" s="1243"/>
      <c r="E115" s="1230"/>
      <c r="F115" s="1197"/>
      <c r="G115" s="1197"/>
      <c r="H115" s="1243"/>
      <c r="I115" s="1300"/>
      <c r="J115" s="1300"/>
      <c r="K115" s="1300"/>
      <c r="L115" s="690"/>
      <c r="M115" s="690"/>
      <c r="N115" s="690"/>
      <c r="X115" s="818"/>
      <c r="Y115" s="818"/>
      <c r="Z115" s="818"/>
      <c r="AA115" s="631"/>
      <c r="AB115" s="631"/>
    </row>
    <row r="116" spans="2:28" s="48" customFormat="1" x14ac:dyDescent="0.25">
      <c r="B116" s="1386"/>
      <c r="C116" s="1300"/>
      <c r="D116" s="1243"/>
      <c r="E116" s="1230"/>
      <c r="F116" s="1197"/>
      <c r="G116" s="1197"/>
      <c r="H116" s="1243"/>
      <c r="I116" s="1300"/>
      <c r="J116" s="1300"/>
      <c r="K116" s="1300"/>
      <c r="L116" s="690"/>
      <c r="M116" s="690"/>
      <c r="N116" s="690"/>
      <c r="X116" s="631"/>
      <c r="Y116" s="631"/>
      <c r="Z116" s="631"/>
      <c r="AA116" s="631"/>
      <c r="AB116" s="631"/>
    </row>
    <row r="117" spans="2:28" s="48" customFormat="1" x14ac:dyDescent="0.25">
      <c r="B117" s="1386"/>
      <c r="C117" s="1300"/>
      <c r="D117" s="1243"/>
      <c r="E117" s="1230"/>
      <c r="F117" s="1197"/>
      <c r="G117" s="1197"/>
      <c r="H117" s="1243"/>
      <c r="I117" s="1300"/>
      <c r="J117" s="1300"/>
      <c r="K117" s="1300"/>
      <c r="L117" s="690"/>
      <c r="M117" s="690"/>
      <c r="N117" s="690"/>
      <c r="X117" s="631"/>
      <c r="Y117" s="631"/>
      <c r="Z117" s="631"/>
      <c r="AA117" s="631"/>
      <c r="AB117" s="631"/>
    </row>
    <row r="118" spans="2:28" s="48" customFormat="1" x14ac:dyDescent="0.25">
      <c r="B118" s="1386"/>
      <c r="C118" s="1300"/>
      <c r="D118" s="1243"/>
      <c r="E118" s="1230"/>
      <c r="F118" s="1197"/>
      <c r="G118" s="1197"/>
      <c r="H118" s="1243"/>
      <c r="I118" s="1300"/>
      <c r="J118" s="1300"/>
      <c r="K118" s="1300"/>
      <c r="L118" s="690"/>
      <c r="M118" s="690"/>
      <c r="N118" s="690"/>
      <c r="X118" s="631"/>
      <c r="Y118" s="631"/>
      <c r="Z118" s="631"/>
      <c r="AA118" s="631"/>
      <c r="AB118" s="631"/>
    </row>
    <row r="119" spans="2:28" s="48" customFormat="1" x14ac:dyDescent="0.25">
      <c r="B119" s="1386"/>
      <c r="C119" s="1300"/>
      <c r="D119" s="1243"/>
      <c r="E119" s="1230"/>
      <c r="F119" s="1197"/>
      <c r="G119" s="1230"/>
      <c r="H119" s="1243"/>
      <c r="I119" s="1230"/>
      <c r="J119" s="1230"/>
      <c r="K119" s="1230"/>
      <c r="L119" s="690"/>
      <c r="M119" s="690"/>
      <c r="N119" s="690"/>
      <c r="X119" s="631"/>
      <c r="Y119" s="631"/>
      <c r="Z119" s="631"/>
      <c r="AA119" s="631"/>
      <c r="AB119" s="631"/>
    </row>
    <row r="120" spans="2:28" s="48" customFormat="1" x14ac:dyDescent="0.25">
      <c r="B120" s="1386"/>
      <c r="C120" s="1300"/>
      <c r="D120" s="1243"/>
      <c r="E120" s="1230"/>
      <c r="F120" s="1197"/>
      <c r="G120" s="1230"/>
      <c r="H120" s="1243"/>
      <c r="I120" s="1230"/>
      <c r="J120" s="1230"/>
      <c r="K120" s="1230"/>
      <c r="L120" s="690"/>
      <c r="M120" s="690"/>
      <c r="N120" s="690"/>
      <c r="X120" s="631"/>
      <c r="Y120" s="631"/>
      <c r="Z120" s="631"/>
      <c r="AA120" s="631"/>
      <c r="AB120" s="631"/>
    </row>
    <row r="121" spans="2:28" s="48" customFormat="1" x14ac:dyDescent="0.25">
      <c r="B121" s="1386"/>
      <c r="C121" s="1300"/>
      <c r="D121" s="1243"/>
      <c r="E121" s="1230"/>
      <c r="F121" s="1197"/>
      <c r="G121" s="1230"/>
      <c r="H121" s="1243"/>
      <c r="I121" s="1230"/>
      <c r="J121" s="1230"/>
      <c r="K121" s="1230"/>
      <c r="L121" s="690"/>
      <c r="M121" s="690"/>
      <c r="N121" s="690"/>
      <c r="X121" s="631"/>
      <c r="Y121" s="631"/>
      <c r="Z121" s="631"/>
      <c r="AA121" s="631"/>
      <c r="AB121" s="631"/>
    </row>
    <row r="122" spans="2:28" s="48" customFormat="1" x14ac:dyDescent="0.25">
      <c r="B122" s="1386"/>
      <c r="C122" s="1300"/>
      <c r="D122" s="1243"/>
      <c r="E122" s="1230"/>
      <c r="F122" s="1197"/>
      <c r="G122" s="1230"/>
      <c r="H122" s="1243"/>
      <c r="I122" s="1230"/>
      <c r="J122" s="1230"/>
      <c r="K122" s="1230"/>
      <c r="L122" s="690"/>
      <c r="M122" s="690"/>
      <c r="N122" s="690"/>
      <c r="X122" s="631"/>
      <c r="Y122" s="631"/>
      <c r="Z122" s="631"/>
      <c r="AA122" s="631"/>
      <c r="AB122" s="631"/>
    </row>
    <row r="123" spans="2:28" s="48" customFormat="1" x14ac:dyDescent="0.25">
      <c r="B123" s="1386"/>
      <c r="C123" s="1300"/>
      <c r="D123" s="1243"/>
      <c r="E123" s="1243"/>
      <c r="F123" s="1387"/>
      <c r="G123" s="1230"/>
      <c r="H123" s="1243"/>
      <c r="I123" s="1230"/>
      <c r="J123" s="1230"/>
      <c r="K123" s="1230"/>
      <c r="L123" s="690"/>
      <c r="M123" s="690"/>
      <c r="N123" s="690"/>
      <c r="X123" s="631"/>
      <c r="Y123" s="631"/>
      <c r="Z123" s="631"/>
      <c r="AA123" s="631"/>
      <c r="AB123" s="631"/>
    </row>
    <row r="124" spans="2:28" s="48" customFormat="1" x14ac:dyDescent="0.25">
      <c r="B124" s="1386"/>
      <c r="C124" s="1300"/>
      <c r="D124" s="1243"/>
      <c r="E124" s="1243"/>
      <c r="F124" s="1387"/>
      <c r="G124" s="1230"/>
      <c r="H124" s="1243"/>
      <c r="I124" s="1230"/>
      <c r="J124" s="1230"/>
      <c r="K124" s="1230"/>
      <c r="L124" s="690"/>
      <c r="M124" s="690"/>
      <c r="N124" s="690"/>
      <c r="X124" s="631"/>
      <c r="Y124" s="631"/>
      <c r="Z124" s="631"/>
      <c r="AA124" s="631"/>
      <c r="AB124" s="631"/>
    </row>
    <row r="125" spans="2:28" s="48" customFormat="1" x14ac:dyDescent="0.25">
      <c r="B125" s="1386"/>
      <c r="C125" s="1300"/>
      <c r="D125" s="1243"/>
      <c r="E125" s="1243"/>
      <c r="F125" s="1387"/>
      <c r="G125" s="1230"/>
      <c r="H125" s="1243"/>
      <c r="I125" s="1230"/>
      <c r="J125" s="1230"/>
      <c r="K125" s="1230"/>
      <c r="L125" s="690"/>
      <c r="M125" s="690"/>
      <c r="N125" s="690"/>
      <c r="X125" s="631"/>
      <c r="Y125" s="631"/>
      <c r="Z125" s="631"/>
      <c r="AA125" s="631"/>
      <c r="AB125" s="631"/>
    </row>
    <row r="126" spans="2:28" s="48" customFormat="1" x14ac:dyDescent="0.25">
      <c r="B126" s="1386"/>
      <c r="C126" s="1300"/>
      <c r="D126" s="1243"/>
      <c r="E126" s="1243"/>
      <c r="F126" s="1387"/>
      <c r="G126" s="1230"/>
      <c r="H126" s="1243"/>
      <c r="I126" s="1230"/>
      <c r="J126" s="1230"/>
      <c r="K126" s="1230"/>
      <c r="L126" s="690"/>
      <c r="M126" s="690"/>
      <c r="N126" s="690"/>
      <c r="X126" s="631"/>
      <c r="Y126" s="631"/>
      <c r="Z126" s="631"/>
      <c r="AA126" s="631"/>
      <c r="AB126" s="631"/>
    </row>
    <row r="127" spans="2:28" s="48" customFormat="1" x14ac:dyDescent="0.25">
      <c r="B127" s="1386"/>
      <c r="C127" s="1300"/>
      <c r="D127" s="1243"/>
      <c r="E127" s="1230"/>
      <c r="F127" s="1387"/>
      <c r="G127" s="1230"/>
      <c r="H127" s="1230"/>
      <c r="I127" s="1230"/>
      <c r="J127" s="1230"/>
      <c r="K127" s="1230"/>
      <c r="L127" s="690"/>
      <c r="M127" s="690"/>
      <c r="N127" s="690"/>
      <c r="X127" s="631"/>
      <c r="Y127" s="631"/>
      <c r="Z127" s="631"/>
      <c r="AA127" s="631"/>
      <c r="AB127" s="631"/>
    </row>
    <row r="128" spans="2:28" s="48" customFormat="1" x14ac:dyDescent="0.25">
      <c r="B128" s="1386"/>
      <c r="C128" s="1300"/>
      <c r="D128" s="1243"/>
      <c r="E128" s="1230"/>
      <c r="F128" s="1387"/>
      <c r="G128" s="1230"/>
      <c r="H128" s="1230"/>
      <c r="I128" s="1230"/>
      <c r="J128" s="1230"/>
      <c r="K128" s="1230"/>
      <c r="L128" s="690"/>
      <c r="M128" s="690"/>
      <c r="N128" s="690"/>
      <c r="X128" s="631"/>
      <c r="Y128" s="631"/>
      <c r="Z128" s="631"/>
      <c r="AA128" s="631"/>
      <c r="AB128" s="631"/>
    </row>
    <row r="129" spans="2:28" s="48" customFormat="1" x14ac:dyDescent="0.25">
      <c r="B129" s="1386"/>
      <c r="C129" s="1300"/>
      <c r="D129" s="1243"/>
      <c r="E129" s="1230"/>
      <c r="F129" s="1387"/>
      <c r="G129" s="1230"/>
      <c r="H129" s="1230"/>
      <c r="I129" s="1230"/>
      <c r="J129" s="1230"/>
      <c r="K129" s="1230"/>
      <c r="L129" s="690"/>
      <c r="M129" s="690"/>
      <c r="N129" s="690"/>
      <c r="X129" s="631"/>
      <c r="Y129" s="631"/>
      <c r="Z129" s="631"/>
      <c r="AA129" s="631"/>
      <c r="AB129" s="631"/>
    </row>
    <row r="130" spans="2:28" s="48" customFormat="1" ht="32.25" customHeight="1" x14ac:dyDescent="0.25">
      <c r="B130" s="1386"/>
      <c r="C130" s="1300"/>
      <c r="D130" s="1243"/>
      <c r="E130" s="1230"/>
      <c r="F130" s="1387"/>
      <c r="G130" s="1230"/>
      <c r="H130" s="1230"/>
      <c r="I130" s="1230"/>
      <c r="J130" s="1230"/>
      <c r="K130" s="1230"/>
      <c r="L130" s="690"/>
      <c r="M130" s="690"/>
      <c r="N130" s="690"/>
      <c r="X130" s="631"/>
      <c r="Y130" s="631"/>
      <c r="Z130" s="631"/>
      <c r="AA130" s="631"/>
      <c r="AB130" s="631"/>
    </row>
    <row r="131" spans="2:28" s="48" customFormat="1" x14ac:dyDescent="0.25">
      <c r="B131" s="1386"/>
      <c r="C131" s="1300"/>
      <c r="D131" s="1243"/>
      <c r="E131" s="1230"/>
      <c r="F131" s="1387"/>
      <c r="G131" s="1230"/>
      <c r="H131" s="1230"/>
      <c r="I131" s="1230"/>
      <c r="J131" s="1230"/>
      <c r="K131" s="1230"/>
      <c r="L131" s="690"/>
      <c r="M131" s="690"/>
      <c r="N131" s="690"/>
      <c r="X131" s="631"/>
      <c r="Y131" s="631"/>
      <c r="Z131" s="631"/>
      <c r="AA131" s="631"/>
      <c r="AB131" s="631"/>
    </row>
    <row r="132" spans="2:28" s="48" customFormat="1" x14ac:dyDescent="0.25">
      <c r="B132" s="1386"/>
      <c r="C132" s="1300"/>
      <c r="D132" s="1243"/>
      <c r="E132" s="1230"/>
      <c r="F132" s="1387"/>
      <c r="G132" s="1230"/>
      <c r="H132" s="1230"/>
      <c r="I132" s="1230"/>
      <c r="J132" s="1230"/>
      <c r="K132" s="1230"/>
      <c r="L132" s="690"/>
      <c r="M132" s="690"/>
      <c r="N132" s="690"/>
      <c r="X132" s="631"/>
      <c r="Y132" s="631"/>
      <c r="Z132" s="631"/>
      <c r="AA132" s="631"/>
      <c r="AB132" s="631"/>
    </row>
    <row r="133" spans="2:28" s="48" customFormat="1" x14ac:dyDescent="0.25">
      <c r="B133" s="1386"/>
      <c r="C133" s="1300"/>
      <c r="D133" s="1243"/>
      <c r="E133" s="1230"/>
      <c r="F133" s="1387"/>
      <c r="G133" s="1230"/>
      <c r="H133" s="1230"/>
      <c r="I133" s="1230"/>
      <c r="J133" s="1230"/>
      <c r="K133" s="1230"/>
      <c r="L133" s="690"/>
      <c r="M133" s="690"/>
      <c r="N133" s="690"/>
      <c r="X133" s="631"/>
      <c r="Y133" s="631"/>
      <c r="Z133" s="631"/>
      <c r="AA133" s="631"/>
      <c r="AB133" s="631"/>
    </row>
    <row r="134" spans="2:28" s="48" customFormat="1" x14ac:dyDescent="0.25">
      <c r="B134" s="1386"/>
      <c r="C134" s="1300"/>
      <c r="D134" s="1243"/>
      <c r="E134" s="1230"/>
      <c r="F134" s="1387"/>
      <c r="G134" s="1230"/>
      <c r="H134" s="1230"/>
      <c r="I134" s="1230"/>
      <c r="J134" s="1230"/>
      <c r="K134" s="1230"/>
      <c r="L134" s="690"/>
      <c r="M134" s="690"/>
      <c r="N134" s="690"/>
      <c r="X134" s="631"/>
      <c r="Y134" s="631"/>
      <c r="Z134" s="631"/>
      <c r="AA134" s="631"/>
      <c r="AB134" s="631"/>
    </row>
    <row r="135" spans="2:28" s="48" customFormat="1" x14ac:dyDescent="0.25">
      <c r="B135" s="1386"/>
      <c r="C135" s="1300"/>
      <c r="D135" s="1243"/>
      <c r="E135" s="1230"/>
      <c r="F135" s="1387"/>
      <c r="G135" s="1230"/>
      <c r="H135" s="1230"/>
      <c r="I135" s="1230"/>
      <c r="J135" s="1230"/>
      <c r="K135" s="1230"/>
      <c r="L135" s="690"/>
      <c r="M135" s="690"/>
      <c r="N135" s="690"/>
      <c r="X135" s="631"/>
      <c r="Y135" s="631"/>
      <c r="Z135" s="631"/>
      <c r="AA135" s="631"/>
      <c r="AB135" s="631"/>
    </row>
    <row r="136" spans="2:28" s="48" customFormat="1" x14ac:dyDescent="0.25">
      <c r="B136" s="1386"/>
      <c r="C136" s="1300"/>
      <c r="D136" s="1243"/>
      <c r="E136" s="1230"/>
      <c r="F136" s="1387"/>
      <c r="G136" s="1230"/>
      <c r="H136" s="1230"/>
      <c r="I136" s="1230"/>
      <c r="J136" s="1230"/>
      <c r="K136" s="1230"/>
      <c r="L136" s="690"/>
      <c r="M136" s="690"/>
      <c r="N136" s="690"/>
      <c r="X136" s="631"/>
      <c r="Y136" s="631"/>
      <c r="Z136" s="631"/>
      <c r="AA136" s="631"/>
      <c r="AB136" s="631"/>
    </row>
    <row r="137" spans="2:28" s="48" customFormat="1" x14ac:dyDescent="0.25">
      <c r="B137" s="1386"/>
      <c r="C137" s="1300"/>
      <c r="D137" s="1243"/>
      <c r="E137" s="1230"/>
      <c r="F137" s="1387"/>
      <c r="G137" s="1230"/>
      <c r="H137" s="1230"/>
      <c r="I137" s="1230"/>
      <c r="J137" s="1230"/>
      <c r="K137" s="1230"/>
      <c r="L137" s="690"/>
      <c r="M137" s="690"/>
      <c r="N137" s="690"/>
      <c r="X137" s="631"/>
      <c r="Y137" s="631"/>
      <c r="Z137" s="631"/>
      <c r="AA137" s="631"/>
      <c r="AB137" s="631"/>
    </row>
    <row r="138" spans="2:28" s="48" customFormat="1" x14ac:dyDescent="0.25">
      <c r="B138" s="1386"/>
      <c r="C138" s="1300"/>
      <c r="D138" s="1243"/>
      <c r="E138" s="1230"/>
      <c r="F138" s="1387"/>
      <c r="G138" s="1230"/>
      <c r="H138" s="1230"/>
      <c r="I138" s="1230"/>
      <c r="J138" s="1230"/>
      <c r="K138" s="1230"/>
      <c r="L138" s="690"/>
      <c r="M138" s="690"/>
      <c r="N138" s="690"/>
      <c r="X138" s="631"/>
      <c r="Y138" s="631"/>
      <c r="Z138" s="631"/>
      <c r="AA138" s="631"/>
      <c r="AB138" s="631"/>
    </row>
    <row r="139" spans="2:28" s="48" customFormat="1" x14ac:dyDescent="0.25">
      <c r="B139" s="1386"/>
      <c r="C139" s="1300"/>
      <c r="D139" s="1243"/>
      <c r="E139" s="1230"/>
      <c r="F139" s="1387"/>
      <c r="G139" s="1230"/>
      <c r="H139" s="1230"/>
      <c r="I139" s="1230"/>
      <c r="J139" s="1230"/>
      <c r="K139" s="1230"/>
      <c r="L139" s="690"/>
      <c r="M139" s="690"/>
      <c r="N139" s="690"/>
      <c r="X139" s="631"/>
      <c r="Y139" s="631"/>
      <c r="Z139" s="631"/>
      <c r="AA139" s="631"/>
      <c r="AB139" s="631"/>
    </row>
    <row r="140" spans="2:28" s="48" customFormat="1" x14ac:dyDescent="0.25">
      <c r="B140" s="1386"/>
      <c r="C140" s="1300"/>
      <c r="D140" s="1243"/>
      <c r="E140" s="1230"/>
      <c r="F140" s="1387"/>
      <c r="G140" s="1230"/>
      <c r="H140" s="1230"/>
      <c r="I140" s="1230"/>
      <c r="J140" s="1230"/>
      <c r="K140" s="1230"/>
      <c r="L140" s="690"/>
      <c r="M140" s="690"/>
      <c r="N140" s="690"/>
      <c r="X140" s="631"/>
      <c r="Y140" s="631"/>
      <c r="Z140" s="631"/>
      <c r="AA140" s="631"/>
      <c r="AB140" s="631"/>
    </row>
    <row r="141" spans="2:28" s="48" customFormat="1" x14ac:dyDescent="0.25">
      <c r="B141" s="1386"/>
      <c r="C141" s="1300"/>
      <c r="D141" s="1243"/>
      <c r="E141" s="1230"/>
      <c r="F141" s="1387"/>
      <c r="G141" s="1230"/>
      <c r="H141" s="1230"/>
      <c r="I141" s="1230"/>
      <c r="J141" s="1230"/>
      <c r="K141" s="1230"/>
      <c r="L141" s="690"/>
      <c r="M141" s="690"/>
      <c r="N141" s="690"/>
      <c r="X141" s="631"/>
      <c r="Y141" s="631"/>
      <c r="Z141" s="631"/>
      <c r="AA141" s="631"/>
      <c r="AB141" s="631"/>
    </row>
    <row r="142" spans="2:28" s="48" customFormat="1" x14ac:dyDescent="0.25">
      <c r="B142" s="1386"/>
      <c r="C142" s="1300"/>
      <c r="D142" s="1243"/>
      <c r="E142" s="1230"/>
      <c r="F142" s="1387"/>
      <c r="G142" s="1230"/>
      <c r="H142" s="1230"/>
      <c r="I142" s="1230"/>
      <c r="J142" s="1230"/>
      <c r="K142" s="1230"/>
      <c r="L142" s="690"/>
      <c r="M142" s="690"/>
      <c r="N142" s="690"/>
      <c r="X142" s="631"/>
      <c r="Y142" s="631"/>
      <c r="Z142" s="631"/>
      <c r="AA142" s="631"/>
      <c r="AB142" s="631"/>
    </row>
    <row r="143" spans="2:28" s="48" customFormat="1" x14ac:dyDescent="0.25">
      <c r="B143" s="1386"/>
      <c r="C143" s="1300"/>
      <c r="D143" s="1243"/>
      <c r="E143" s="1230"/>
      <c r="F143" s="1387"/>
      <c r="G143" s="1230"/>
      <c r="H143" s="1230"/>
      <c r="I143" s="1230"/>
      <c r="J143" s="1230"/>
      <c r="K143" s="1230"/>
      <c r="L143" s="690"/>
      <c r="M143" s="690"/>
      <c r="N143" s="690"/>
    </row>
    <row r="144" spans="2:28" s="48" customFormat="1" x14ac:dyDescent="0.25">
      <c r="B144" s="1386"/>
      <c r="C144" s="1300"/>
      <c r="D144" s="1243"/>
      <c r="E144" s="1230"/>
      <c r="F144" s="1387"/>
      <c r="G144" s="1230"/>
      <c r="H144" s="1230"/>
      <c r="I144" s="1230"/>
      <c r="J144" s="1230"/>
      <c r="K144" s="1230"/>
      <c r="L144" s="690"/>
      <c r="M144" s="690"/>
      <c r="N144" s="690"/>
    </row>
    <row r="145" spans="2:14" s="48" customFormat="1" x14ac:dyDescent="0.25">
      <c r="B145" s="1386"/>
      <c r="C145" s="1300"/>
      <c r="D145" s="1243"/>
      <c r="E145" s="1230"/>
      <c r="F145" s="1387"/>
      <c r="G145" s="1230"/>
      <c r="H145" s="1230"/>
      <c r="I145" s="1230"/>
      <c r="J145" s="1230"/>
      <c r="K145" s="1230"/>
      <c r="L145" s="690"/>
      <c r="M145" s="690"/>
      <c r="N145" s="690"/>
    </row>
    <row r="146" spans="2:14" s="48" customFormat="1" x14ac:dyDescent="0.25">
      <c r="B146" s="1386"/>
      <c r="C146" s="1300"/>
      <c r="D146" s="1243"/>
      <c r="E146" s="1230"/>
      <c r="F146" s="1387"/>
      <c r="G146" s="1230"/>
      <c r="H146" s="1230"/>
      <c r="I146" s="1230"/>
      <c r="J146" s="1230"/>
      <c r="K146" s="1230"/>
      <c r="L146" s="690"/>
      <c r="M146" s="690"/>
      <c r="N146" s="690"/>
    </row>
    <row r="147" spans="2:14" s="48" customFormat="1" x14ac:dyDescent="0.25">
      <c r="B147" s="1386"/>
      <c r="C147" s="1300"/>
      <c r="D147" s="1243"/>
      <c r="E147" s="1230"/>
      <c r="F147" s="1387"/>
      <c r="G147" s="1230"/>
      <c r="H147" s="1230"/>
      <c r="I147" s="1230"/>
      <c r="J147" s="1230"/>
      <c r="K147" s="1230"/>
      <c r="L147" s="690"/>
      <c r="M147" s="690"/>
      <c r="N147" s="690"/>
    </row>
    <row r="148" spans="2:14" s="48" customFormat="1" x14ac:dyDescent="0.25">
      <c r="B148" s="1386"/>
      <c r="C148" s="1300"/>
      <c r="D148" s="1243"/>
      <c r="E148" s="1230"/>
      <c r="F148" s="1387"/>
      <c r="G148" s="1230"/>
      <c r="H148" s="1230"/>
      <c r="I148" s="1230"/>
      <c r="J148" s="1230"/>
      <c r="K148" s="1230"/>
      <c r="L148" s="690"/>
      <c r="M148" s="690"/>
      <c r="N148" s="690"/>
    </row>
    <row r="149" spans="2:14" s="48" customFormat="1" x14ac:dyDescent="0.25">
      <c r="B149" s="1386"/>
      <c r="C149" s="1300"/>
      <c r="D149" s="1243"/>
      <c r="E149" s="1230"/>
      <c r="F149" s="1387"/>
      <c r="G149" s="1230"/>
      <c r="H149" s="1230"/>
      <c r="I149" s="1230"/>
      <c r="J149" s="1230"/>
      <c r="K149" s="1230"/>
      <c r="L149" s="690"/>
      <c r="M149" s="690"/>
      <c r="N149" s="690"/>
    </row>
    <row r="150" spans="2:14" s="48" customFormat="1" x14ac:dyDescent="0.25">
      <c r="B150" s="1386"/>
      <c r="C150" s="1300"/>
      <c r="D150" s="1243"/>
      <c r="E150" s="1230"/>
      <c r="F150" s="1387"/>
      <c r="G150" s="1230"/>
      <c r="H150" s="1230"/>
      <c r="I150" s="1230"/>
      <c r="J150" s="1230"/>
      <c r="K150" s="1230"/>
      <c r="L150" s="690"/>
      <c r="M150" s="690"/>
      <c r="N150" s="690"/>
    </row>
    <row r="151" spans="2:14" s="48" customFormat="1" ht="16.5" customHeight="1" x14ac:dyDescent="0.25">
      <c r="B151" s="1386"/>
      <c r="C151" s="1300"/>
      <c r="D151" s="1243"/>
      <c r="E151" s="1230"/>
      <c r="F151" s="1197"/>
      <c r="G151" s="1230"/>
      <c r="H151" s="1230"/>
      <c r="I151" s="1230"/>
      <c r="J151" s="1230"/>
      <c r="K151" s="1230"/>
      <c r="L151" s="690"/>
      <c r="M151" s="690"/>
      <c r="N151" s="690"/>
    </row>
    <row r="152" spans="2:14" s="48" customFormat="1" ht="16.5" customHeight="1" x14ac:dyDescent="0.25">
      <c r="B152" s="1386"/>
      <c r="C152" s="1300"/>
      <c r="D152" s="1243"/>
      <c r="E152" s="1230"/>
      <c r="F152" s="1197"/>
      <c r="G152" s="1230"/>
      <c r="H152" s="1230"/>
      <c r="I152" s="1230"/>
      <c r="J152" s="1230"/>
      <c r="K152" s="1230"/>
      <c r="L152" s="690"/>
      <c r="M152" s="690"/>
      <c r="N152" s="690"/>
    </row>
    <row r="153" spans="2:14" s="48" customFormat="1" ht="16.5" customHeight="1" x14ac:dyDescent="0.25">
      <c r="B153" s="1386"/>
      <c r="C153" s="1300"/>
      <c r="D153" s="1243"/>
      <c r="E153" s="1230"/>
      <c r="F153" s="1197"/>
      <c r="G153" s="1230"/>
      <c r="H153" s="1230"/>
      <c r="I153" s="1230"/>
      <c r="J153" s="1230"/>
      <c r="K153" s="1230"/>
      <c r="L153" s="690"/>
      <c r="M153" s="690"/>
      <c r="N153" s="690"/>
    </row>
    <row r="154" spans="2:14" s="48" customFormat="1" ht="16.5" customHeight="1" x14ac:dyDescent="0.25">
      <c r="B154" s="1386"/>
      <c r="C154" s="1300"/>
      <c r="D154" s="1243"/>
      <c r="E154" s="1230"/>
      <c r="F154" s="1197"/>
      <c r="G154" s="1230"/>
      <c r="H154" s="1230"/>
      <c r="I154" s="1230"/>
      <c r="J154" s="1230"/>
      <c r="K154" s="1230"/>
      <c r="L154" s="690"/>
      <c r="M154" s="690"/>
      <c r="N154" s="690"/>
    </row>
    <row r="155" spans="2:14" s="48" customFormat="1" ht="16.5" customHeight="1" x14ac:dyDescent="0.25">
      <c r="B155" s="1386"/>
      <c r="C155" s="1300"/>
      <c r="D155" s="1243"/>
      <c r="E155" s="1243"/>
      <c r="F155" s="1197"/>
      <c r="G155" s="1230"/>
      <c r="H155" s="1230"/>
      <c r="I155" s="1300"/>
      <c r="J155" s="1243"/>
      <c r="K155" s="1300"/>
      <c r="L155" s="690"/>
      <c r="M155" s="690"/>
      <c r="N155" s="690"/>
    </row>
    <row r="156" spans="2:14" s="48" customFormat="1" ht="16.5" customHeight="1" x14ac:dyDescent="0.25">
      <c r="B156" s="1386"/>
      <c r="C156" s="1300"/>
      <c r="D156" s="1243"/>
      <c r="E156" s="1243"/>
      <c r="F156" s="1197"/>
      <c r="G156" s="1230"/>
      <c r="H156" s="1230"/>
      <c r="I156" s="1300"/>
      <c r="J156" s="1243"/>
      <c r="K156" s="1300"/>
      <c r="L156" s="690"/>
      <c r="M156" s="690"/>
      <c r="N156" s="690"/>
    </row>
    <row r="157" spans="2:14" s="48" customFormat="1" x14ac:dyDescent="0.25">
      <c r="B157" s="1386"/>
      <c r="C157" s="1300"/>
      <c r="D157" s="1243"/>
      <c r="E157" s="1243"/>
      <c r="F157" s="1197"/>
      <c r="G157" s="1230"/>
      <c r="H157" s="1230"/>
      <c r="I157" s="1300"/>
      <c r="J157" s="1243"/>
      <c r="K157" s="1300"/>
      <c r="L157" s="690"/>
      <c r="M157" s="690"/>
      <c r="N157" s="690"/>
    </row>
    <row r="158" spans="2:14" s="48" customFormat="1" x14ac:dyDescent="0.25">
      <c r="B158" s="1386"/>
      <c r="C158" s="1300"/>
      <c r="D158" s="1243"/>
      <c r="E158" s="1243"/>
      <c r="F158" s="1197"/>
      <c r="G158" s="1230"/>
      <c r="H158" s="1230"/>
      <c r="I158" s="1300"/>
      <c r="J158" s="1243"/>
      <c r="K158" s="1300"/>
      <c r="L158" s="690"/>
      <c r="M158" s="690"/>
      <c r="N158" s="690"/>
    </row>
    <row r="159" spans="2:14" s="48" customFormat="1" ht="16.5" customHeight="1" x14ac:dyDescent="0.25">
      <c r="B159" s="1386"/>
      <c r="C159" s="1300"/>
      <c r="D159" s="1243"/>
      <c r="E159" s="1243"/>
      <c r="F159" s="1197"/>
      <c r="G159" s="1230"/>
      <c r="H159" s="1230"/>
      <c r="I159" s="1300"/>
      <c r="J159" s="1243"/>
      <c r="K159" s="1300"/>
      <c r="L159" s="690"/>
      <c r="M159" s="690"/>
      <c r="N159" s="690"/>
    </row>
    <row r="160" spans="2:14" s="48" customFormat="1" x14ac:dyDescent="0.25">
      <c r="B160" s="1386"/>
      <c r="C160" s="1300"/>
      <c r="D160" s="1243"/>
      <c r="E160" s="1243"/>
      <c r="F160" s="1197"/>
      <c r="G160" s="1230"/>
      <c r="H160" s="1230"/>
      <c r="I160" s="1300"/>
      <c r="J160" s="1243"/>
      <c r="K160" s="1300"/>
      <c r="L160" s="690"/>
      <c r="M160" s="690"/>
      <c r="N160" s="690"/>
    </row>
    <row r="161" spans="2:14" s="48" customFormat="1" x14ac:dyDescent="0.25">
      <c r="B161" s="1386"/>
      <c r="C161" s="1300"/>
      <c r="D161" s="1243"/>
      <c r="E161" s="1243"/>
      <c r="F161" s="1197"/>
      <c r="G161" s="1230"/>
      <c r="H161" s="1230"/>
      <c r="I161" s="1300"/>
      <c r="J161" s="1243"/>
      <c r="K161" s="1300"/>
      <c r="L161" s="690"/>
      <c r="M161" s="690"/>
      <c r="N161" s="690"/>
    </row>
    <row r="162" spans="2:14" s="48" customFormat="1" x14ac:dyDescent="0.25">
      <c r="B162" s="1386"/>
      <c r="C162" s="1300"/>
      <c r="D162" s="1243"/>
      <c r="E162" s="1243"/>
      <c r="F162" s="1197"/>
      <c r="G162" s="1230"/>
      <c r="H162" s="1230"/>
      <c r="I162" s="1300"/>
      <c r="J162" s="1243"/>
      <c r="K162" s="1300"/>
      <c r="L162" s="690"/>
      <c r="M162" s="690"/>
      <c r="N162" s="690"/>
    </row>
    <row r="163" spans="2:14" s="48" customFormat="1" x14ac:dyDescent="0.25">
      <c r="B163" s="1386"/>
      <c r="C163" s="1300"/>
      <c r="D163" s="1243"/>
      <c r="E163" s="1243"/>
      <c r="F163" s="1197"/>
      <c r="G163" s="1230"/>
      <c r="H163" s="1230"/>
      <c r="I163" s="1300"/>
      <c r="J163" s="1243"/>
      <c r="K163" s="1300"/>
      <c r="L163" s="690"/>
      <c r="M163" s="690"/>
      <c r="N163" s="690"/>
    </row>
    <row r="164" spans="2:14" s="48" customFormat="1" x14ac:dyDescent="0.25">
      <c r="B164" s="1386"/>
      <c r="C164" s="1300"/>
      <c r="D164" s="1243"/>
      <c r="E164" s="1243"/>
      <c r="F164" s="1197"/>
      <c r="G164" s="1230"/>
      <c r="H164" s="1230"/>
      <c r="I164" s="1300"/>
      <c r="J164" s="1243"/>
      <c r="K164" s="1300"/>
      <c r="L164" s="690"/>
      <c r="M164" s="690"/>
      <c r="N164" s="690"/>
    </row>
    <row r="165" spans="2:14" s="48" customFormat="1" x14ac:dyDescent="0.25">
      <c r="B165" s="1386"/>
      <c r="C165" s="1300"/>
      <c r="D165" s="1243"/>
      <c r="E165" s="1243"/>
      <c r="F165" s="1197"/>
      <c r="G165" s="1230"/>
      <c r="H165" s="1230"/>
      <c r="I165" s="1300"/>
      <c r="J165" s="1243"/>
      <c r="K165" s="1300"/>
      <c r="L165" s="690"/>
      <c r="M165" s="690"/>
      <c r="N165" s="690"/>
    </row>
    <row r="166" spans="2:14" s="48" customFormat="1" x14ac:dyDescent="0.25">
      <c r="B166" s="1386"/>
      <c r="C166" s="1300"/>
      <c r="D166" s="1243"/>
      <c r="E166" s="1243"/>
      <c r="F166" s="1197"/>
      <c r="G166" s="1230"/>
      <c r="H166" s="1230"/>
      <c r="I166" s="1300"/>
      <c r="J166" s="1243"/>
      <c r="K166" s="1300"/>
      <c r="L166" s="690"/>
      <c r="M166" s="690"/>
      <c r="N166" s="690"/>
    </row>
    <row r="167" spans="2:14" s="48" customFormat="1" x14ac:dyDescent="0.25">
      <c r="B167" s="1386"/>
      <c r="C167" s="1300"/>
      <c r="D167" s="1243"/>
      <c r="E167" s="1243"/>
      <c r="F167" s="1197"/>
      <c r="G167" s="1230"/>
      <c r="H167" s="1230"/>
      <c r="I167" s="1300"/>
      <c r="J167" s="1243"/>
      <c r="K167" s="1300"/>
      <c r="L167" s="690"/>
      <c r="M167" s="690"/>
      <c r="N167" s="690"/>
    </row>
    <row r="168" spans="2:14" s="48" customFormat="1" x14ac:dyDescent="0.25">
      <c r="B168" s="1386"/>
      <c r="C168" s="1300"/>
      <c r="D168" s="1243"/>
      <c r="E168" s="1243"/>
      <c r="F168" s="1197"/>
      <c r="G168" s="1230"/>
      <c r="H168" s="1230"/>
      <c r="I168" s="1300"/>
      <c r="J168" s="1243"/>
      <c r="K168" s="1300"/>
      <c r="L168" s="690"/>
      <c r="M168" s="690"/>
      <c r="N168" s="690"/>
    </row>
    <row r="169" spans="2:14" s="48" customFormat="1" x14ac:dyDescent="0.25">
      <c r="B169" s="1386"/>
      <c r="C169" s="1300"/>
      <c r="D169" s="1243"/>
      <c r="E169" s="1243"/>
      <c r="F169" s="1197"/>
      <c r="G169" s="1230"/>
      <c r="H169" s="1230"/>
      <c r="I169" s="1300"/>
      <c r="J169" s="1243"/>
      <c r="K169" s="1300"/>
      <c r="L169" s="690"/>
      <c r="M169" s="690"/>
      <c r="N169" s="690"/>
    </row>
    <row r="170" spans="2:14" s="48" customFormat="1" x14ac:dyDescent="0.25">
      <c r="B170" s="1386"/>
      <c r="C170" s="1300"/>
      <c r="D170" s="1243"/>
      <c r="E170" s="1243"/>
      <c r="F170" s="1197"/>
      <c r="G170" s="1230"/>
      <c r="H170" s="1230"/>
      <c r="I170" s="1300"/>
      <c r="J170" s="1243"/>
      <c r="K170" s="1300"/>
      <c r="L170" s="690"/>
      <c r="M170" s="690"/>
      <c r="N170" s="690"/>
    </row>
    <row r="171" spans="2:14" s="48" customFormat="1" x14ac:dyDescent="0.25">
      <c r="B171" s="1386"/>
      <c r="C171" s="1300"/>
      <c r="D171" s="1243"/>
      <c r="E171" s="1243"/>
      <c r="F171" s="1197"/>
      <c r="G171" s="1230"/>
      <c r="H171" s="1230"/>
      <c r="I171" s="1300"/>
      <c r="J171" s="1243"/>
      <c r="K171" s="1300"/>
      <c r="L171" s="690"/>
      <c r="M171" s="690"/>
      <c r="N171" s="690"/>
    </row>
    <row r="172" spans="2:14" s="48" customFormat="1" x14ac:dyDescent="0.25">
      <c r="B172" s="1386"/>
      <c r="C172" s="1300"/>
      <c r="D172" s="1243"/>
      <c r="E172" s="1243"/>
      <c r="F172" s="1197"/>
      <c r="G172" s="1230"/>
      <c r="H172" s="1230"/>
      <c r="I172" s="1300"/>
      <c r="J172" s="1243"/>
      <c r="K172" s="1300"/>
      <c r="L172" s="690"/>
      <c r="M172" s="690"/>
      <c r="N172" s="690"/>
    </row>
    <row r="173" spans="2:14" s="48" customFormat="1" x14ac:dyDescent="0.25">
      <c r="B173" s="1386"/>
      <c r="C173" s="1300"/>
      <c r="D173" s="1243"/>
      <c r="E173" s="1243"/>
      <c r="F173" s="1197"/>
      <c r="G173" s="1230"/>
      <c r="H173" s="1230"/>
      <c r="I173" s="1300"/>
      <c r="J173" s="1243"/>
      <c r="K173" s="1300"/>
      <c r="L173" s="690"/>
      <c r="M173" s="690"/>
      <c r="N173" s="690"/>
    </row>
    <row r="174" spans="2:14" s="48" customFormat="1" x14ac:dyDescent="0.25">
      <c r="B174" s="1386"/>
      <c r="C174" s="1300"/>
      <c r="D174" s="1243"/>
      <c r="E174" s="1243"/>
      <c r="F174" s="1197"/>
      <c r="G174" s="1230"/>
      <c r="H174" s="1230"/>
      <c r="I174" s="1300"/>
      <c r="J174" s="1243"/>
      <c r="K174" s="1300"/>
      <c r="L174" s="690"/>
      <c r="M174" s="690"/>
      <c r="N174" s="690"/>
    </row>
    <row r="175" spans="2:14" s="48" customFormat="1" x14ac:dyDescent="0.25">
      <c r="B175" s="1386"/>
      <c r="C175" s="1300"/>
      <c r="D175" s="1243"/>
      <c r="E175" s="1243"/>
      <c r="F175" s="1197"/>
      <c r="G175" s="1230"/>
      <c r="H175" s="1230"/>
      <c r="I175" s="1300"/>
      <c r="J175" s="1243"/>
      <c r="K175" s="1300"/>
      <c r="L175" s="690"/>
      <c r="M175" s="690"/>
      <c r="N175" s="690"/>
    </row>
    <row r="176" spans="2:14" s="48" customFormat="1" x14ac:dyDescent="0.25">
      <c r="B176" s="1386"/>
      <c r="C176" s="1300"/>
      <c r="D176" s="1243"/>
      <c r="E176" s="1243"/>
      <c r="F176" s="1197"/>
      <c r="G176" s="1230"/>
      <c r="H176" s="1230"/>
      <c r="I176" s="1300"/>
      <c r="J176" s="1243"/>
      <c r="K176" s="1300"/>
      <c r="L176" s="690"/>
      <c r="M176" s="690"/>
      <c r="N176" s="690"/>
    </row>
    <row r="177" spans="2:14" s="48" customFormat="1" x14ac:dyDescent="0.25">
      <c r="B177" s="1386"/>
      <c r="C177" s="1300"/>
      <c r="D177" s="1243"/>
      <c r="E177" s="1243"/>
      <c r="F177" s="1197"/>
      <c r="G177" s="1230"/>
      <c r="H177" s="1230"/>
      <c r="I177" s="1300"/>
      <c r="J177" s="1243"/>
      <c r="K177" s="1300"/>
      <c r="L177" s="690"/>
      <c r="M177" s="690"/>
      <c r="N177" s="690"/>
    </row>
    <row r="178" spans="2:14" s="48" customFormat="1" x14ac:dyDescent="0.25">
      <c r="B178" s="1386"/>
      <c r="C178" s="1300"/>
      <c r="D178" s="1243"/>
      <c r="E178" s="1243"/>
      <c r="F178" s="1197"/>
      <c r="G178" s="1230"/>
      <c r="H178" s="1230"/>
      <c r="I178" s="1300"/>
      <c r="J178" s="1243"/>
      <c r="K178" s="1300"/>
      <c r="L178" s="690"/>
      <c r="M178" s="690"/>
      <c r="N178" s="690"/>
    </row>
    <row r="179" spans="2:14" s="48" customFormat="1" x14ac:dyDescent="0.25">
      <c r="B179" s="1386"/>
      <c r="C179" s="1300"/>
      <c r="D179" s="1243"/>
      <c r="E179" s="1243"/>
      <c r="F179" s="1197"/>
      <c r="G179" s="1230"/>
      <c r="H179" s="1230"/>
      <c r="I179" s="1300"/>
      <c r="J179" s="1243"/>
      <c r="K179" s="1300"/>
      <c r="L179" s="690"/>
      <c r="M179" s="690"/>
      <c r="N179" s="690"/>
    </row>
    <row r="180" spans="2:14" s="48" customFormat="1" x14ac:dyDescent="0.25">
      <c r="B180" s="1386"/>
      <c r="C180" s="1300"/>
      <c r="D180" s="1243"/>
      <c r="E180" s="1243"/>
      <c r="F180" s="1197"/>
      <c r="G180" s="1230"/>
      <c r="H180" s="1230"/>
      <c r="I180" s="1300"/>
      <c r="J180" s="1243"/>
      <c r="K180" s="1300"/>
      <c r="L180" s="690"/>
      <c r="M180" s="690"/>
      <c r="N180" s="690"/>
    </row>
    <row r="181" spans="2:14" s="48" customFormat="1" x14ac:dyDescent="0.25">
      <c r="B181" s="1386"/>
      <c r="C181" s="1300"/>
      <c r="D181" s="1243"/>
      <c r="E181" s="1243"/>
      <c r="F181" s="1197"/>
      <c r="G181" s="1230"/>
      <c r="H181" s="1230"/>
      <c r="I181" s="1300"/>
      <c r="J181" s="1243"/>
      <c r="K181" s="1300"/>
      <c r="L181" s="690"/>
      <c r="M181" s="690"/>
      <c r="N181" s="690"/>
    </row>
    <row r="182" spans="2:14" s="48" customFormat="1" x14ac:dyDescent="0.25">
      <c r="B182" s="1386"/>
      <c r="C182" s="1300"/>
      <c r="D182" s="1243"/>
      <c r="E182" s="1243"/>
      <c r="F182" s="1197"/>
      <c r="G182" s="1230"/>
      <c r="H182" s="1230"/>
      <c r="I182" s="1300"/>
      <c r="J182" s="1243"/>
      <c r="K182" s="1300"/>
      <c r="L182" s="690"/>
      <c r="M182" s="690"/>
      <c r="N182" s="690"/>
    </row>
    <row r="183" spans="2:14" s="48" customFormat="1" x14ac:dyDescent="0.25">
      <c r="B183" s="1386"/>
      <c r="C183" s="1300"/>
      <c r="D183" s="1243"/>
      <c r="E183" s="1243"/>
      <c r="F183" s="1197"/>
      <c r="G183" s="1230"/>
      <c r="H183" s="1230"/>
      <c r="I183" s="1300"/>
      <c r="J183" s="1243"/>
      <c r="K183" s="1300"/>
      <c r="L183" s="690"/>
      <c r="M183" s="690"/>
      <c r="N183" s="690"/>
    </row>
    <row r="184" spans="2:14" s="48" customFormat="1" x14ac:dyDescent="0.25">
      <c r="B184" s="1386"/>
      <c r="C184" s="1300"/>
      <c r="D184" s="1243"/>
      <c r="E184" s="1243"/>
      <c r="F184" s="1197"/>
      <c r="G184" s="1230"/>
      <c r="H184" s="1230"/>
      <c r="I184" s="1300"/>
      <c r="J184" s="1243"/>
      <c r="K184" s="1300"/>
      <c r="L184" s="690"/>
      <c r="M184" s="690"/>
      <c r="N184" s="690"/>
    </row>
    <row r="185" spans="2:14" s="48" customFormat="1" ht="18.75" customHeight="1" x14ac:dyDescent="0.25">
      <c r="B185" s="1386"/>
      <c r="C185" s="1300"/>
      <c r="D185" s="1243"/>
      <c r="E185" s="1243"/>
      <c r="F185" s="1197"/>
      <c r="G185" s="1230"/>
      <c r="H185" s="1230"/>
      <c r="I185" s="1300"/>
      <c r="J185" s="1243"/>
      <c r="K185" s="1300"/>
      <c r="L185" s="690"/>
      <c r="M185" s="690"/>
      <c r="N185" s="690"/>
    </row>
    <row r="186" spans="2:14" s="48" customFormat="1" ht="40.5" customHeight="1" x14ac:dyDescent="0.25">
      <c r="B186" s="1386"/>
      <c r="C186" s="1300"/>
      <c r="D186" s="1243"/>
      <c r="E186" s="1243"/>
      <c r="F186" s="1197"/>
      <c r="G186" s="1230"/>
      <c r="H186" s="1230"/>
      <c r="I186" s="1300"/>
      <c r="J186" s="1243"/>
      <c r="K186" s="1300"/>
      <c r="L186" s="690"/>
      <c r="M186" s="690"/>
      <c r="N186" s="690"/>
    </row>
    <row r="187" spans="2:14" s="48" customFormat="1" ht="19.5" customHeight="1" x14ac:dyDescent="0.25">
      <c r="B187" s="1378"/>
      <c r="C187" s="1300"/>
      <c r="D187" s="1243"/>
      <c r="E187" s="1243"/>
      <c r="F187" s="1197"/>
      <c r="G187" s="1230"/>
      <c r="H187" s="1230"/>
      <c r="I187" s="1300"/>
      <c r="J187" s="1243"/>
      <c r="K187" s="1300"/>
      <c r="L187" s="690"/>
      <c r="M187" s="690"/>
      <c r="N187" s="690"/>
    </row>
    <row r="188" spans="2:14" s="48" customFormat="1" ht="14.25" customHeight="1" x14ac:dyDescent="0.25">
      <c r="B188" s="1378"/>
      <c r="C188" s="1300"/>
      <c r="D188" s="1243"/>
      <c r="E188" s="1243"/>
      <c r="F188" s="1197"/>
      <c r="G188" s="1230"/>
      <c r="H188" s="1230"/>
      <c r="I188" s="1300"/>
      <c r="J188" s="1243"/>
      <c r="K188" s="1300"/>
      <c r="L188" s="690"/>
      <c r="M188" s="690"/>
      <c r="N188" s="690"/>
    </row>
    <row r="189" spans="2:14" s="48" customFormat="1" ht="15.75" customHeight="1" x14ac:dyDescent="0.25">
      <c r="B189" s="1378"/>
      <c r="C189" s="1300"/>
      <c r="D189" s="1243"/>
      <c r="E189" s="1243"/>
      <c r="F189" s="1197"/>
      <c r="G189" s="1230"/>
      <c r="H189" s="1230"/>
      <c r="I189" s="1300"/>
      <c r="J189" s="1243"/>
      <c r="K189" s="1300"/>
      <c r="L189" s="690"/>
      <c r="M189" s="690"/>
      <c r="N189" s="690"/>
    </row>
    <row r="190" spans="2:14" s="48" customFormat="1" ht="17.25" customHeight="1" x14ac:dyDescent="0.25">
      <c r="B190" s="1378"/>
      <c r="C190" s="1300"/>
      <c r="D190" s="1243"/>
      <c r="E190" s="1243"/>
      <c r="F190" s="1197"/>
      <c r="G190" s="1230"/>
      <c r="H190" s="1230"/>
      <c r="I190" s="1300"/>
      <c r="J190" s="1243"/>
      <c r="K190" s="1300"/>
      <c r="L190" s="690"/>
      <c r="M190" s="690"/>
      <c r="N190" s="690"/>
    </row>
    <row r="191" spans="2:14" s="48" customFormat="1" ht="15.75" customHeight="1" x14ac:dyDescent="0.25">
      <c r="B191" s="1378"/>
      <c r="C191" s="1300"/>
      <c r="D191" s="1243"/>
      <c r="E191" s="1243"/>
      <c r="F191" s="1197"/>
      <c r="G191" s="1230"/>
      <c r="H191" s="1230"/>
      <c r="I191" s="1300"/>
      <c r="J191" s="1243"/>
      <c r="K191" s="1300"/>
      <c r="L191" s="690"/>
      <c r="M191" s="690"/>
      <c r="N191" s="690"/>
    </row>
    <row r="192" spans="2:14" s="48" customFormat="1" ht="15.75" customHeight="1" x14ac:dyDescent="0.25">
      <c r="B192" s="1378"/>
      <c r="C192" s="1300"/>
      <c r="D192" s="1243"/>
      <c r="E192" s="1243"/>
      <c r="F192" s="1197"/>
      <c r="G192" s="1230"/>
      <c r="H192" s="1230"/>
      <c r="I192" s="1300"/>
      <c r="J192" s="1243"/>
      <c r="K192" s="1300"/>
      <c r="L192" s="690"/>
      <c r="M192" s="690"/>
      <c r="N192" s="690"/>
    </row>
    <row r="193" spans="2:14" s="48" customFormat="1" ht="17.25" customHeight="1" x14ac:dyDescent="0.25">
      <c r="B193" s="1378"/>
      <c r="C193" s="1300"/>
      <c r="D193" s="1243"/>
      <c r="E193" s="1243"/>
      <c r="F193" s="1197"/>
      <c r="G193" s="1230"/>
      <c r="H193" s="1230"/>
      <c r="I193" s="1300"/>
      <c r="J193" s="1243"/>
      <c r="K193" s="1300"/>
      <c r="L193" s="690"/>
      <c r="M193" s="690"/>
      <c r="N193" s="690"/>
    </row>
    <row r="194" spans="2:14" s="48" customFormat="1" ht="16.5" customHeight="1" x14ac:dyDescent="0.25">
      <c r="B194" s="1378"/>
      <c r="C194" s="1300"/>
      <c r="D194" s="1243"/>
      <c r="E194" s="1243"/>
      <c r="F194" s="1197"/>
      <c r="G194" s="1230"/>
      <c r="H194" s="1230"/>
      <c r="I194" s="1300"/>
      <c r="J194" s="1243"/>
      <c r="K194" s="1300"/>
      <c r="L194" s="690"/>
      <c r="M194" s="690"/>
      <c r="N194" s="690"/>
    </row>
    <row r="195" spans="2:14" s="48" customFormat="1" ht="18.75" customHeight="1" x14ac:dyDescent="0.25">
      <c r="B195" s="1378"/>
      <c r="C195" s="1300"/>
      <c r="D195" s="1243"/>
      <c r="E195" s="1243"/>
      <c r="F195" s="1197"/>
      <c r="G195" s="1230"/>
      <c r="H195" s="1230"/>
      <c r="I195" s="1300"/>
      <c r="J195" s="1243"/>
      <c r="K195" s="1300"/>
      <c r="L195" s="690"/>
      <c r="M195" s="690"/>
      <c r="N195" s="690"/>
    </row>
    <row r="196" spans="2:14" s="48" customFormat="1" ht="19.5" customHeight="1" x14ac:dyDescent="0.25">
      <c r="B196" s="1378"/>
      <c r="C196" s="1300"/>
      <c r="D196" s="1243"/>
      <c r="E196" s="1243"/>
      <c r="F196" s="1197"/>
      <c r="G196" s="1230"/>
      <c r="H196" s="1230"/>
      <c r="I196" s="1300"/>
      <c r="J196" s="1243"/>
      <c r="K196" s="1300"/>
      <c r="L196" s="690"/>
      <c r="M196" s="690"/>
      <c r="N196" s="690"/>
    </row>
    <row r="197" spans="2:14" s="48" customFormat="1" ht="18.75" customHeight="1" x14ac:dyDescent="0.25">
      <c r="B197" s="1378"/>
      <c r="C197" s="1300"/>
      <c r="D197" s="1243"/>
      <c r="E197" s="1243"/>
      <c r="F197" s="1197"/>
      <c r="G197" s="1230"/>
      <c r="H197" s="1230"/>
      <c r="I197" s="1300"/>
      <c r="J197" s="1243"/>
      <c r="K197" s="1300"/>
      <c r="L197" s="690"/>
      <c r="M197" s="690"/>
      <c r="N197" s="690"/>
    </row>
    <row r="198" spans="2:14" s="48" customFormat="1" ht="18" customHeight="1" x14ac:dyDescent="0.25">
      <c r="B198" s="1378"/>
      <c r="C198" s="1300"/>
      <c r="D198" s="1243"/>
      <c r="E198" s="1243"/>
      <c r="F198" s="1197"/>
      <c r="G198" s="1230"/>
      <c r="H198" s="1230"/>
      <c r="I198" s="1300"/>
      <c r="J198" s="1243"/>
      <c r="K198" s="1300"/>
      <c r="L198" s="690"/>
      <c r="M198" s="690"/>
      <c r="N198" s="690"/>
    </row>
    <row r="199" spans="2:14" s="48" customFormat="1" ht="16.5" customHeight="1" x14ac:dyDescent="0.25">
      <c r="B199" s="1378"/>
      <c r="C199" s="1300"/>
      <c r="D199" s="1243"/>
      <c r="E199" s="1243"/>
      <c r="F199" s="1197"/>
      <c r="G199" s="1230"/>
      <c r="H199" s="1230"/>
      <c r="I199" s="1300"/>
      <c r="J199" s="1243"/>
      <c r="K199" s="1300"/>
      <c r="L199" s="690"/>
      <c r="M199" s="690"/>
      <c r="N199" s="690"/>
    </row>
    <row r="200" spans="2:14" s="48" customFormat="1" ht="14.25" customHeight="1" x14ac:dyDescent="0.25">
      <c r="B200" s="1378"/>
      <c r="C200" s="1300"/>
      <c r="D200" s="1243"/>
      <c r="E200" s="1243"/>
      <c r="F200" s="1197"/>
      <c r="G200" s="1230"/>
      <c r="H200" s="1230"/>
      <c r="I200" s="1300"/>
      <c r="J200" s="1243"/>
      <c r="K200" s="1300"/>
      <c r="L200" s="690"/>
      <c r="M200" s="690"/>
      <c r="N200" s="690"/>
    </row>
    <row r="201" spans="2:14" s="48" customFormat="1" ht="15" customHeight="1" x14ac:dyDescent="0.25">
      <c r="B201" s="1378"/>
      <c r="C201" s="1300"/>
      <c r="D201" s="1243"/>
      <c r="E201" s="1243"/>
      <c r="F201" s="1197"/>
      <c r="G201" s="1230"/>
      <c r="H201" s="1230"/>
      <c r="I201" s="1300"/>
      <c r="J201" s="1243"/>
      <c r="K201" s="1300"/>
      <c r="L201" s="690"/>
      <c r="M201" s="690"/>
      <c r="N201" s="690"/>
    </row>
    <row r="202" spans="2:14" s="48" customFormat="1" ht="14.25" customHeight="1" x14ac:dyDescent="0.25">
      <c r="B202" s="1378"/>
      <c r="C202" s="1300"/>
      <c r="D202" s="1243"/>
      <c r="E202" s="1243"/>
      <c r="F202" s="1197"/>
      <c r="G202" s="1230"/>
      <c r="H202" s="1230"/>
      <c r="I202" s="1300"/>
      <c r="J202" s="1243"/>
      <c r="K202" s="1300"/>
      <c r="L202" s="690"/>
      <c r="M202" s="690"/>
      <c r="N202" s="690"/>
    </row>
    <row r="203" spans="2:14" s="48" customFormat="1" ht="15.75" customHeight="1" x14ac:dyDescent="0.25">
      <c r="B203" s="1378"/>
      <c r="C203" s="1300"/>
      <c r="D203" s="1243"/>
      <c r="E203" s="1243"/>
      <c r="F203" s="1197"/>
      <c r="G203" s="1230"/>
      <c r="H203" s="1230"/>
      <c r="I203" s="1300"/>
      <c r="J203" s="1243"/>
      <c r="K203" s="1300"/>
      <c r="L203" s="690"/>
      <c r="M203" s="690"/>
      <c r="N203" s="690"/>
    </row>
    <row r="204" spans="2:14" s="48" customFormat="1" ht="19.5" customHeight="1" x14ac:dyDescent="0.25">
      <c r="B204" s="1378"/>
      <c r="C204" s="1300"/>
      <c r="D204" s="1243"/>
      <c r="E204" s="1243"/>
      <c r="F204" s="1197"/>
      <c r="G204" s="1230"/>
      <c r="H204" s="1230"/>
      <c r="I204" s="1300"/>
      <c r="J204" s="1243"/>
      <c r="K204" s="1300"/>
      <c r="L204" s="690"/>
      <c r="M204" s="690"/>
      <c r="N204" s="690"/>
    </row>
    <row r="205" spans="2:14" s="48" customFormat="1" ht="18" customHeight="1" x14ac:dyDescent="0.25">
      <c r="B205" s="1378"/>
      <c r="C205" s="1300"/>
      <c r="D205" s="1243"/>
      <c r="E205" s="1243"/>
      <c r="F205" s="1197"/>
      <c r="G205" s="1230"/>
      <c r="H205" s="1230"/>
      <c r="I205" s="1300"/>
      <c r="J205" s="1243"/>
      <c r="K205" s="1300"/>
      <c r="L205" s="690"/>
      <c r="M205" s="690"/>
      <c r="N205" s="690"/>
    </row>
    <row r="206" spans="2:14" s="48" customFormat="1" ht="20.25" customHeight="1" x14ac:dyDescent="0.25">
      <c r="B206" s="1378"/>
      <c r="C206" s="1300"/>
      <c r="D206" s="1243"/>
      <c r="E206" s="1243"/>
      <c r="F206" s="1197"/>
      <c r="G206" s="1230"/>
      <c r="H206" s="1230"/>
      <c r="I206" s="1300"/>
      <c r="J206" s="1243"/>
      <c r="K206" s="1300"/>
      <c r="L206" s="690"/>
      <c r="M206" s="690"/>
      <c r="N206" s="690"/>
    </row>
    <row r="207" spans="2:14" s="48" customFormat="1" ht="18.75" customHeight="1" x14ac:dyDescent="0.25">
      <c r="B207" s="1378"/>
      <c r="C207" s="1300"/>
      <c r="D207" s="1243"/>
      <c r="E207" s="1243"/>
      <c r="F207" s="1197"/>
      <c r="G207" s="1230"/>
      <c r="H207" s="1230"/>
      <c r="I207" s="1300"/>
      <c r="J207" s="1243"/>
      <c r="K207" s="1300"/>
      <c r="L207" s="690"/>
      <c r="M207" s="690"/>
      <c r="N207" s="690"/>
    </row>
    <row r="208" spans="2:14" s="48" customFormat="1" ht="14.25" customHeight="1" x14ac:dyDescent="0.25">
      <c r="B208" s="1378"/>
      <c r="C208" s="1300"/>
      <c r="D208" s="1243"/>
      <c r="E208" s="1243"/>
      <c r="F208" s="1197"/>
      <c r="G208" s="1230"/>
      <c r="H208" s="1230"/>
      <c r="I208" s="1300"/>
      <c r="J208" s="1243"/>
      <c r="K208" s="1300"/>
      <c r="L208" s="690"/>
      <c r="M208" s="690"/>
      <c r="N208" s="690"/>
    </row>
    <row r="209" spans="2:26" s="48" customFormat="1" ht="15.75" customHeight="1" x14ac:dyDescent="0.25">
      <c r="B209" s="1378"/>
      <c r="C209" s="1300"/>
      <c r="D209" s="1243"/>
      <c r="E209" s="1243"/>
      <c r="F209" s="1197"/>
      <c r="G209" s="1230"/>
      <c r="H209" s="1230"/>
      <c r="I209" s="1300"/>
      <c r="J209" s="1243"/>
      <c r="K209" s="1300"/>
      <c r="L209" s="690"/>
      <c r="M209" s="690"/>
      <c r="N209" s="690"/>
    </row>
    <row r="210" spans="2:26" s="48" customFormat="1" ht="15" customHeight="1" x14ac:dyDescent="0.25">
      <c r="B210" s="1378"/>
      <c r="C210" s="1300"/>
      <c r="D210" s="1243"/>
      <c r="E210" s="1243"/>
      <c r="F210" s="1197"/>
      <c r="G210" s="1230"/>
      <c r="H210" s="1230"/>
      <c r="I210" s="1300"/>
      <c r="J210" s="1243"/>
      <c r="K210" s="1300"/>
      <c r="L210" s="690"/>
      <c r="M210" s="690"/>
      <c r="N210" s="690"/>
    </row>
    <row r="211" spans="2:26" s="48" customFormat="1" ht="16.5" customHeight="1" x14ac:dyDescent="0.25">
      <c r="B211" s="1378"/>
      <c r="C211" s="1300"/>
      <c r="D211" s="1243"/>
      <c r="E211" s="1243"/>
      <c r="F211" s="1197"/>
      <c r="G211" s="1230"/>
      <c r="H211" s="1230"/>
      <c r="I211" s="1300"/>
      <c r="J211" s="1243"/>
      <c r="K211" s="1300"/>
      <c r="L211" s="690"/>
      <c r="M211" s="690"/>
      <c r="N211" s="690"/>
    </row>
    <row r="212" spans="2:26" s="48" customFormat="1" ht="14.25" customHeight="1" x14ac:dyDescent="0.25">
      <c r="B212" s="1378"/>
      <c r="C212" s="1300"/>
      <c r="D212" s="1243"/>
      <c r="E212" s="1243"/>
      <c r="F212" s="1197"/>
      <c r="G212" s="1230"/>
      <c r="H212" s="1230"/>
      <c r="I212" s="1300"/>
      <c r="J212" s="1243"/>
      <c r="K212" s="1300"/>
      <c r="L212" s="690"/>
      <c r="M212" s="690"/>
      <c r="N212" s="690"/>
      <c r="Z212" s="690"/>
    </row>
    <row r="213" spans="2:26" s="48" customFormat="1" ht="14.25" customHeight="1" x14ac:dyDescent="0.25">
      <c r="B213" s="1378"/>
      <c r="C213" s="1300"/>
      <c r="D213" s="1243"/>
      <c r="E213" s="1243"/>
      <c r="F213" s="1197"/>
      <c r="G213" s="1230"/>
      <c r="H213" s="1230"/>
      <c r="I213" s="1300"/>
      <c r="J213" s="1243"/>
      <c r="K213" s="1300"/>
      <c r="L213" s="690"/>
      <c r="M213" s="690"/>
      <c r="N213" s="690"/>
    </row>
    <row r="214" spans="2:26" s="48" customFormat="1" ht="15" customHeight="1" x14ac:dyDescent="0.25">
      <c r="B214" s="1378"/>
      <c r="C214" s="1300"/>
      <c r="D214" s="1243"/>
      <c r="E214" s="1243"/>
      <c r="F214" s="1197"/>
      <c r="G214" s="1230"/>
      <c r="H214" s="1230"/>
      <c r="I214" s="1300"/>
      <c r="J214" s="1243"/>
      <c r="K214" s="1300"/>
      <c r="L214" s="690"/>
      <c r="M214" s="690"/>
      <c r="N214" s="690"/>
    </row>
    <row r="215" spans="2:26" s="48" customFormat="1" ht="16.5" customHeight="1" x14ac:dyDescent="0.25">
      <c r="B215" s="1378"/>
      <c r="C215" s="1300"/>
      <c r="D215" s="1243"/>
      <c r="E215" s="1243"/>
      <c r="F215" s="1197"/>
      <c r="G215" s="1230"/>
      <c r="H215" s="1230"/>
      <c r="I215" s="1300"/>
      <c r="J215" s="1243"/>
      <c r="K215" s="1300"/>
      <c r="L215" s="690"/>
      <c r="M215" s="690"/>
      <c r="N215" s="690"/>
    </row>
    <row r="216" spans="2:26" s="48" customFormat="1" ht="14.25" customHeight="1" x14ac:dyDescent="0.25">
      <c r="B216" s="1378"/>
      <c r="C216" s="1300"/>
      <c r="D216" s="1243"/>
      <c r="E216" s="1243"/>
      <c r="F216" s="1197"/>
      <c r="G216" s="1230"/>
      <c r="H216" s="1230"/>
      <c r="I216" s="1300"/>
      <c r="J216" s="1243"/>
      <c r="K216" s="1300"/>
      <c r="L216" s="690"/>
      <c r="M216" s="690"/>
      <c r="N216" s="690"/>
    </row>
    <row r="217" spans="2:26" s="48" customFormat="1" ht="15" customHeight="1" x14ac:dyDescent="0.25">
      <c r="B217" s="1378"/>
      <c r="C217" s="1300"/>
      <c r="D217" s="1243"/>
      <c r="E217" s="1243"/>
      <c r="F217" s="1197"/>
      <c r="G217" s="1230"/>
      <c r="H217" s="1230"/>
      <c r="I217" s="1300"/>
      <c r="J217" s="1243"/>
      <c r="K217" s="1300"/>
      <c r="L217" s="690"/>
      <c r="M217" s="690"/>
      <c r="N217" s="690"/>
    </row>
    <row r="218" spans="2:26" s="48" customFormat="1" ht="15" customHeight="1" x14ac:dyDescent="0.25">
      <c r="B218" s="1378"/>
      <c r="C218" s="1300"/>
      <c r="D218" s="1243"/>
      <c r="E218" s="1243"/>
      <c r="F218" s="1197"/>
      <c r="G218" s="1230"/>
      <c r="H218" s="1230"/>
      <c r="I218" s="1300"/>
      <c r="J218" s="1243"/>
      <c r="K218" s="1300"/>
      <c r="L218" s="690"/>
      <c r="M218" s="690"/>
      <c r="N218" s="690"/>
    </row>
    <row r="219" spans="2:26" s="48" customFormat="1" ht="15" customHeight="1" x14ac:dyDescent="0.25">
      <c r="B219" s="1386"/>
      <c r="C219" s="1300"/>
      <c r="D219" s="1243"/>
      <c r="E219" s="1243"/>
      <c r="F219" s="1197"/>
      <c r="G219" s="1230"/>
      <c r="H219" s="1230"/>
      <c r="I219" s="1300"/>
      <c r="J219" s="1243"/>
      <c r="K219" s="1300"/>
      <c r="L219" s="690"/>
      <c r="M219" s="690"/>
      <c r="N219" s="690"/>
    </row>
    <row r="220" spans="2:26" s="48" customFormat="1" ht="15" customHeight="1" x14ac:dyDescent="0.25">
      <c r="B220" s="1386"/>
      <c r="C220" s="1300"/>
      <c r="D220" s="1243"/>
      <c r="E220" s="1243"/>
      <c r="F220" s="1197"/>
      <c r="G220" s="1230"/>
      <c r="H220" s="1230"/>
      <c r="I220" s="1300"/>
      <c r="J220" s="1243"/>
      <c r="K220" s="1300"/>
      <c r="L220" s="690"/>
      <c r="M220" s="690"/>
      <c r="N220" s="690"/>
    </row>
    <row r="221" spans="2:26" s="48" customFormat="1" ht="15" customHeight="1" x14ac:dyDescent="0.25">
      <c r="B221" s="1386"/>
      <c r="C221" s="1300"/>
      <c r="D221" s="1243"/>
      <c r="E221" s="1243"/>
      <c r="F221" s="1197"/>
      <c r="G221" s="1230"/>
      <c r="H221" s="1230"/>
      <c r="I221" s="1300"/>
      <c r="J221" s="1243"/>
      <c r="K221" s="1300"/>
      <c r="L221" s="690"/>
      <c r="M221" s="690"/>
      <c r="N221" s="690"/>
    </row>
    <row r="222" spans="2:26" s="48" customFormat="1" ht="15" customHeight="1" x14ac:dyDescent="0.25">
      <c r="B222" s="1386"/>
      <c r="C222" s="1300"/>
      <c r="D222" s="1243"/>
      <c r="E222" s="1243"/>
      <c r="F222" s="1197"/>
      <c r="G222" s="1230"/>
      <c r="H222" s="1230"/>
      <c r="I222" s="1300"/>
      <c r="J222" s="1243"/>
      <c r="K222" s="1300"/>
      <c r="L222" s="690"/>
      <c r="M222" s="690"/>
      <c r="N222" s="690"/>
    </row>
    <row r="223" spans="2:26" s="48" customFormat="1" ht="15" customHeight="1" x14ac:dyDescent="0.25">
      <c r="B223" s="1386"/>
      <c r="C223" s="1300"/>
      <c r="D223" s="1243"/>
      <c r="E223" s="1243"/>
      <c r="F223" s="1197"/>
      <c r="G223" s="1230"/>
      <c r="H223" s="1230"/>
      <c r="I223" s="1300"/>
      <c r="J223" s="1243"/>
      <c r="K223" s="1300"/>
      <c r="L223" s="690"/>
      <c r="M223" s="690"/>
      <c r="N223" s="690"/>
    </row>
    <row r="224" spans="2:26" s="48" customFormat="1" ht="15" customHeight="1" x14ac:dyDescent="0.25">
      <c r="B224" s="1386"/>
      <c r="C224" s="1300"/>
      <c r="D224" s="1243"/>
      <c r="E224" s="1243"/>
      <c r="F224" s="1197"/>
      <c r="G224" s="1230"/>
      <c r="H224" s="1230"/>
      <c r="I224" s="1300"/>
      <c r="J224" s="1243"/>
      <c r="K224" s="1300"/>
      <c r="L224" s="690"/>
      <c r="M224" s="690"/>
      <c r="N224" s="690"/>
    </row>
    <row r="225" spans="2:14" s="48" customFormat="1" ht="15" customHeight="1" x14ac:dyDescent="0.25">
      <c r="B225" s="1386"/>
      <c r="C225" s="1300"/>
      <c r="D225" s="1243"/>
      <c r="E225" s="1243"/>
      <c r="F225" s="1197"/>
      <c r="G225" s="1230"/>
      <c r="H225" s="1230"/>
      <c r="I225" s="1300"/>
      <c r="J225" s="1243"/>
      <c r="K225" s="1300"/>
      <c r="L225" s="690"/>
      <c r="M225" s="690"/>
      <c r="N225" s="690"/>
    </row>
    <row r="226" spans="2:14" s="48" customFormat="1" ht="15" customHeight="1" x14ac:dyDescent="0.25">
      <c r="B226" s="1386"/>
      <c r="C226" s="1300"/>
      <c r="D226" s="1243"/>
      <c r="E226" s="1243"/>
      <c r="F226" s="1197"/>
      <c r="G226" s="1230"/>
      <c r="H226" s="1230"/>
      <c r="I226" s="1300"/>
      <c r="J226" s="1243"/>
      <c r="K226" s="1300"/>
      <c r="L226" s="690"/>
      <c r="M226" s="690"/>
      <c r="N226" s="690"/>
    </row>
    <row r="227" spans="2:14" s="48" customFormat="1" ht="15" customHeight="1" x14ac:dyDescent="0.25">
      <c r="B227" s="1386"/>
      <c r="C227" s="1300"/>
      <c r="D227" s="1243"/>
      <c r="E227" s="1243"/>
      <c r="F227" s="1197"/>
      <c r="G227" s="1230"/>
      <c r="H227" s="1230"/>
      <c r="I227" s="1300"/>
      <c r="J227" s="1243"/>
      <c r="K227" s="1300"/>
      <c r="L227" s="690"/>
      <c r="M227" s="690"/>
      <c r="N227" s="690"/>
    </row>
    <row r="228" spans="2:14" s="48" customFormat="1" ht="15" customHeight="1" x14ac:dyDescent="0.25">
      <c r="B228" s="1386"/>
      <c r="C228" s="1300"/>
      <c r="D228" s="1243"/>
      <c r="E228" s="1243"/>
      <c r="F228" s="1197"/>
      <c r="G228" s="1230"/>
      <c r="H228" s="1230"/>
      <c r="I228" s="1300"/>
      <c r="J228" s="1243"/>
      <c r="K228" s="1300"/>
      <c r="L228" s="690"/>
      <c r="M228" s="690"/>
      <c r="N228" s="690"/>
    </row>
    <row r="229" spans="2:14" s="48" customFormat="1" ht="15" customHeight="1" x14ac:dyDescent="0.25">
      <c r="B229" s="1386"/>
      <c r="C229" s="1300"/>
      <c r="D229" s="1243"/>
      <c r="E229" s="1243"/>
      <c r="F229" s="1197"/>
      <c r="G229" s="1230"/>
      <c r="H229" s="1230"/>
      <c r="I229" s="1300"/>
      <c r="J229" s="1243"/>
      <c r="K229" s="1300"/>
      <c r="L229" s="690"/>
      <c r="M229" s="690"/>
      <c r="N229" s="690"/>
    </row>
    <row r="230" spans="2:14" s="48" customFormat="1" ht="15" customHeight="1" x14ac:dyDescent="0.25">
      <c r="B230" s="1386"/>
      <c r="C230" s="1300"/>
      <c r="D230" s="1243"/>
      <c r="E230" s="1243"/>
      <c r="F230" s="1197"/>
      <c r="G230" s="1230"/>
      <c r="H230" s="1230"/>
      <c r="I230" s="1300"/>
      <c r="J230" s="1243"/>
      <c r="K230" s="1300"/>
      <c r="L230" s="690"/>
      <c r="M230" s="690"/>
      <c r="N230" s="690"/>
    </row>
    <row r="231" spans="2:14" s="48" customFormat="1" ht="23.25" customHeight="1" x14ac:dyDescent="0.25">
      <c r="B231" s="1386"/>
      <c r="C231" s="1300"/>
      <c r="D231" s="1243"/>
      <c r="E231" s="1243"/>
      <c r="F231" s="1197"/>
      <c r="G231" s="1230"/>
      <c r="H231" s="1230"/>
      <c r="I231" s="1300"/>
      <c r="J231" s="1243"/>
      <c r="K231" s="1300"/>
      <c r="L231" s="690"/>
      <c r="M231" s="690"/>
      <c r="N231" s="690"/>
    </row>
    <row r="232" spans="2:14" s="48" customFormat="1" ht="18.75" customHeight="1" x14ac:dyDescent="0.25">
      <c r="B232" s="1386"/>
      <c r="C232" s="1300"/>
      <c r="D232" s="1243"/>
      <c r="E232" s="1243"/>
      <c r="F232" s="1197"/>
      <c r="G232" s="1230"/>
      <c r="H232" s="1230"/>
      <c r="I232" s="1300"/>
      <c r="J232" s="1243"/>
      <c r="K232" s="1300"/>
      <c r="L232" s="690"/>
      <c r="M232" s="690"/>
      <c r="N232" s="690"/>
    </row>
    <row r="233" spans="2:14" s="48" customFormat="1" ht="23.25" customHeight="1" x14ac:dyDescent="0.25">
      <c r="B233" s="1386"/>
      <c r="C233" s="1300"/>
      <c r="D233" s="1243"/>
      <c r="E233" s="1243"/>
      <c r="F233" s="1197"/>
      <c r="G233" s="1230"/>
      <c r="H233" s="1230"/>
      <c r="I233" s="1300"/>
      <c r="J233" s="1243"/>
      <c r="K233" s="1300"/>
      <c r="L233" s="690"/>
      <c r="M233" s="690"/>
      <c r="N233" s="690"/>
    </row>
    <row r="234" spans="2:14" s="48" customFormat="1" ht="17.25" customHeight="1" x14ac:dyDescent="0.25">
      <c r="B234" s="1386"/>
      <c r="C234" s="1300"/>
      <c r="D234" s="1243"/>
      <c r="E234" s="1243"/>
      <c r="F234" s="1197"/>
      <c r="G234" s="1230"/>
      <c r="H234" s="1230"/>
      <c r="I234" s="1300"/>
      <c r="J234" s="1243"/>
      <c r="K234" s="1300"/>
      <c r="L234" s="690"/>
      <c r="M234" s="690"/>
      <c r="N234" s="690"/>
    </row>
    <row r="235" spans="2:14" s="48" customFormat="1" ht="20.25" customHeight="1" x14ac:dyDescent="0.25">
      <c r="B235" s="1386"/>
      <c r="C235" s="1300"/>
      <c r="D235" s="1243"/>
      <c r="E235" s="1243"/>
      <c r="F235" s="1197"/>
      <c r="G235" s="1230"/>
      <c r="H235" s="1230"/>
      <c r="I235" s="1300"/>
      <c r="J235" s="1243"/>
      <c r="K235" s="1300"/>
      <c r="L235" s="690"/>
      <c r="M235" s="690"/>
      <c r="N235" s="690"/>
    </row>
    <row r="236" spans="2:14" s="48" customFormat="1" ht="18.75" customHeight="1" x14ac:dyDescent="0.25">
      <c r="B236" s="1386"/>
      <c r="C236" s="1300"/>
      <c r="D236" s="1243"/>
      <c r="E236" s="1243"/>
      <c r="F236" s="1197"/>
      <c r="G236" s="1230"/>
      <c r="H236" s="1230"/>
      <c r="I236" s="1300"/>
      <c r="J236" s="1243"/>
      <c r="K236" s="1300"/>
      <c r="L236" s="690"/>
      <c r="M236" s="690"/>
      <c r="N236" s="690"/>
    </row>
    <row r="237" spans="2:14" s="48" customFormat="1" ht="16.5" customHeight="1" x14ac:dyDescent="0.25">
      <c r="B237" s="1386"/>
      <c r="C237" s="1300"/>
      <c r="D237" s="1243"/>
      <c r="E237" s="1243"/>
      <c r="F237" s="1197"/>
      <c r="G237" s="1230"/>
      <c r="H237" s="1230"/>
      <c r="I237" s="1300"/>
      <c r="J237" s="1243"/>
      <c r="K237" s="1300"/>
      <c r="L237" s="690"/>
      <c r="M237" s="690"/>
      <c r="N237" s="690"/>
    </row>
    <row r="238" spans="2:14" s="48" customFormat="1" ht="15.75" customHeight="1" x14ac:dyDescent="0.25">
      <c r="B238" s="1386"/>
      <c r="C238" s="1300"/>
      <c r="D238" s="1243"/>
      <c r="E238" s="1243"/>
      <c r="F238" s="1197"/>
      <c r="G238" s="1230"/>
      <c r="H238" s="1230"/>
      <c r="I238" s="1300"/>
      <c r="J238" s="1243"/>
      <c r="K238" s="1300"/>
      <c r="L238" s="690"/>
      <c r="M238" s="690"/>
      <c r="N238" s="690"/>
    </row>
    <row r="239" spans="2:14" s="48" customFormat="1" ht="15.75" customHeight="1" x14ac:dyDescent="0.25">
      <c r="B239" s="1386"/>
      <c r="C239" s="1300"/>
      <c r="D239" s="1243"/>
      <c r="E239" s="1243"/>
      <c r="F239" s="1197"/>
      <c r="G239" s="1230"/>
      <c r="H239" s="1230"/>
      <c r="I239" s="1300"/>
      <c r="J239" s="1243"/>
      <c r="K239" s="1300"/>
      <c r="L239" s="690"/>
      <c r="M239" s="690"/>
      <c r="N239" s="690"/>
    </row>
    <row r="240" spans="2:14" s="48" customFormat="1" ht="15.75" customHeight="1" x14ac:dyDescent="0.25">
      <c r="B240" s="1386"/>
      <c r="C240" s="1300"/>
      <c r="D240" s="1243"/>
      <c r="E240" s="1243"/>
      <c r="F240" s="1197"/>
      <c r="G240" s="1230"/>
      <c r="H240" s="1230"/>
      <c r="I240" s="1300"/>
      <c r="J240" s="1243"/>
      <c r="K240" s="1300"/>
      <c r="L240" s="690"/>
      <c r="M240" s="690"/>
      <c r="N240" s="690"/>
    </row>
    <row r="241" spans="2:14" s="48" customFormat="1" ht="15.75" customHeight="1" x14ac:dyDescent="0.25">
      <c r="B241" s="1386"/>
      <c r="C241" s="1300"/>
      <c r="D241" s="1243"/>
      <c r="E241" s="1243"/>
      <c r="F241" s="1197"/>
      <c r="G241" s="1230"/>
      <c r="H241" s="1230"/>
      <c r="I241" s="1300"/>
      <c r="J241" s="1243"/>
      <c r="K241" s="1300"/>
      <c r="L241" s="690"/>
      <c r="M241" s="690"/>
      <c r="N241" s="690"/>
    </row>
    <row r="242" spans="2:14" s="48" customFormat="1" ht="15.75" customHeight="1" x14ac:dyDescent="0.25">
      <c r="B242" s="1386"/>
      <c r="C242" s="1300"/>
      <c r="D242" s="1243"/>
      <c r="E242" s="1243"/>
      <c r="F242" s="1197"/>
      <c r="G242" s="1230"/>
      <c r="H242" s="1230"/>
      <c r="I242" s="1300"/>
      <c r="J242" s="1243"/>
      <c r="K242" s="1300"/>
      <c r="L242" s="690"/>
      <c r="M242" s="690"/>
      <c r="N242" s="690"/>
    </row>
    <row r="243" spans="2:14" s="48" customFormat="1" ht="15.75" customHeight="1" x14ac:dyDescent="0.25">
      <c r="B243" s="1386"/>
      <c r="C243" s="1300"/>
      <c r="D243" s="1243"/>
      <c r="E243" s="1243"/>
      <c r="F243" s="1197"/>
      <c r="G243" s="1230"/>
      <c r="H243" s="1230"/>
      <c r="I243" s="1300"/>
      <c r="J243" s="1243"/>
      <c r="K243" s="1300"/>
      <c r="L243" s="690"/>
      <c r="M243" s="690"/>
      <c r="N243" s="690"/>
    </row>
    <row r="244" spans="2:14" s="48" customFormat="1" ht="15.75" customHeight="1" x14ac:dyDescent="0.25">
      <c r="B244" s="1386"/>
      <c r="C244" s="1300"/>
      <c r="D244" s="1243"/>
      <c r="E244" s="1243"/>
      <c r="F244" s="1197"/>
      <c r="G244" s="1230"/>
      <c r="H244" s="1230"/>
      <c r="I244" s="1300"/>
      <c r="J244" s="1243"/>
      <c r="K244" s="1300"/>
      <c r="L244" s="690"/>
      <c r="M244" s="690"/>
      <c r="N244" s="690"/>
    </row>
    <row r="245" spans="2:14" s="48" customFormat="1" ht="15.75" customHeight="1" x14ac:dyDescent="0.25">
      <c r="B245" s="1386"/>
      <c r="C245" s="1300"/>
      <c r="D245" s="1243"/>
      <c r="E245" s="1243"/>
      <c r="F245" s="1197"/>
      <c r="G245" s="1230"/>
      <c r="H245" s="1230"/>
      <c r="I245" s="1300"/>
      <c r="J245" s="1243"/>
      <c r="K245" s="1300"/>
      <c r="L245" s="690"/>
      <c r="M245" s="690"/>
      <c r="N245" s="690"/>
    </row>
    <row r="246" spans="2:14" s="48" customFormat="1" ht="15.75" customHeight="1" x14ac:dyDescent="0.25">
      <c r="B246" s="1386"/>
      <c r="C246" s="1300"/>
      <c r="D246" s="1243"/>
      <c r="E246" s="1243"/>
      <c r="F246" s="1197"/>
      <c r="G246" s="1230"/>
      <c r="H246" s="1230"/>
      <c r="I246" s="1300"/>
      <c r="J246" s="1243"/>
      <c r="K246" s="1300"/>
      <c r="L246" s="690"/>
      <c r="M246" s="690"/>
      <c r="N246" s="690"/>
    </row>
    <row r="247" spans="2:14" s="48" customFormat="1" ht="15.75" customHeight="1" x14ac:dyDescent="0.25">
      <c r="B247" s="1386"/>
      <c r="C247" s="1300"/>
      <c r="D247" s="1243"/>
      <c r="E247" s="1243"/>
      <c r="F247" s="1197"/>
      <c r="G247" s="1230"/>
      <c r="H247" s="1230"/>
      <c r="I247" s="1300"/>
      <c r="J247" s="1243"/>
      <c r="K247" s="1300"/>
      <c r="L247" s="690"/>
      <c r="M247" s="690"/>
      <c r="N247" s="690"/>
    </row>
    <row r="248" spans="2:14" s="48" customFormat="1" ht="15.75" customHeight="1" x14ac:dyDescent="0.25">
      <c r="B248" s="1386"/>
      <c r="C248" s="1300"/>
      <c r="D248" s="1243"/>
      <c r="E248" s="1243"/>
      <c r="F248" s="1197"/>
      <c r="G248" s="1230"/>
      <c r="H248" s="1230"/>
      <c r="I248" s="1300"/>
      <c r="J248" s="1243"/>
      <c r="K248" s="1300"/>
      <c r="L248" s="690"/>
      <c r="M248" s="690"/>
      <c r="N248" s="690"/>
    </row>
    <row r="249" spans="2:14" s="48" customFormat="1" ht="15.75" customHeight="1" x14ac:dyDescent="0.25">
      <c r="B249" s="1386"/>
      <c r="C249" s="1300"/>
      <c r="D249" s="1243"/>
      <c r="E249" s="1243"/>
      <c r="F249" s="1197"/>
      <c r="G249" s="1230"/>
      <c r="H249" s="1230"/>
      <c r="I249" s="1300"/>
      <c r="J249" s="1243"/>
      <c r="K249" s="1300"/>
      <c r="L249" s="690"/>
      <c r="M249" s="690"/>
      <c r="N249" s="690"/>
    </row>
    <row r="250" spans="2:14" s="48" customFormat="1" ht="15.75" customHeight="1" x14ac:dyDescent="0.25">
      <c r="B250" s="1386"/>
      <c r="C250" s="1300"/>
      <c r="D250" s="1243"/>
      <c r="E250" s="1243"/>
      <c r="F250" s="1197"/>
      <c r="G250" s="1230"/>
      <c r="H250" s="1230"/>
      <c r="I250" s="1300"/>
      <c r="J250" s="1243"/>
      <c r="K250" s="1300"/>
      <c r="L250" s="690"/>
      <c r="M250" s="690"/>
      <c r="N250" s="690"/>
    </row>
    <row r="251" spans="2:14" s="48" customFormat="1" ht="15.75" customHeight="1" x14ac:dyDescent="0.25">
      <c r="B251" s="1386"/>
      <c r="C251" s="1300"/>
      <c r="D251" s="1243"/>
      <c r="E251" s="1243"/>
      <c r="F251" s="1197"/>
      <c r="G251" s="1230"/>
      <c r="H251" s="1230"/>
      <c r="I251" s="1300"/>
      <c r="J251" s="1243"/>
      <c r="K251" s="1300"/>
      <c r="L251" s="690"/>
      <c r="M251" s="690"/>
      <c r="N251" s="690"/>
    </row>
    <row r="252" spans="2:14" s="48" customFormat="1" ht="15.75" customHeight="1" x14ac:dyDescent="0.25">
      <c r="B252" s="1386"/>
      <c r="C252" s="1300"/>
      <c r="D252" s="1243"/>
      <c r="E252" s="1243"/>
      <c r="F252" s="1197"/>
      <c r="G252" s="1230"/>
      <c r="H252" s="1230"/>
      <c r="I252" s="1300"/>
      <c r="J252" s="1243"/>
      <c r="K252" s="1300"/>
      <c r="L252" s="690"/>
      <c r="M252" s="690"/>
      <c r="N252" s="690"/>
    </row>
    <row r="253" spans="2:14" s="48" customFormat="1" ht="15.75" customHeight="1" x14ac:dyDescent="0.25">
      <c r="B253" s="1386"/>
      <c r="C253" s="1300"/>
      <c r="D253" s="1243"/>
      <c r="E253" s="1243"/>
      <c r="F253" s="1197"/>
      <c r="G253" s="1230"/>
      <c r="H253" s="1230"/>
      <c r="I253" s="1300"/>
      <c r="J253" s="1243"/>
      <c r="K253" s="1300"/>
      <c r="L253" s="690"/>
      <c r="M253" s="690"/>
      <c r="N253" s="690"/>
    </row>
    <row r="254" spans="2:14" s="48" customFormat="1" ht="15.75" customHeight="1" x14ac:dyDescent="0.25">
      <c r="B254" s="1386"/>
      <c r="C254" s="1300"/>
      <c r="D254" s="1243"/>
      <c r="E254" s="1243"/>
      <c r="F254" s="1197"/>
      <c r="G254" s="1230"/>
      <c r="H254" s="1230"/>
      <c r="I254" s="1300"/>
      <c r="J254" s="1243"/>
      <c r="K254" s="1300"/>
      <c r="L254" s="690"/>
      <c r="M254" s="690"/>
      <c r="N254" s="690"/>
    </row>
    <row r="255" spans="2:14" s="48" customFormat="1" ht="15.75" customHeight="1" x14ac:dyDescent="0.25">
      <c r="B255" s="1386"/>
      <c r="C255" s="1300"/>
      <c r="D255" s="1243"/>
      <c r="E255" s="1243"/>
      <c r="F255" s="1197"/>
      <c r="G255" s="1230"/>
      <c r="H255" s="1230"/>
      <c r="I255" s="1300"/>
      <c r="J255" s="1243"/>
      <c r="K255" s="1300"/>
      <c r="L255" s="690"/>
      <c r="M255" s="690"/>
      <c r="N255" s="690"/>
    </row>
    <row r="256" spans="2:14" s="48" customFormat="1" ht="15.75" customHeight="1" x14ac:dyDescent="0.25">
      <c r="B256" s="1386"/>
      <c r="C256" s="1300"/>
      <c r="D256" s="1243"/>
      <c r="E256" s="1243"/>
      <c r="F256" s="1197"/>
      <c r="G256" s="1230"/>
      <c r="H256" s="1230"/>
      <c r="I256" s="1300"/>
      <c r="J256" s="1243"/>
      <c r="K256" s="1300"/>
      <c r="L256" s="690"/>
      <c r="M256" s="690"/>
      <c r="N256" s="690"/>
    </row>
    <row r="257" spans="2:14" s="48" customFormat="1" ht="15.75" customHeight="1" x14ac:dyDescent="0.25">
      <c r="B257" s="1386"/>
      <c r="C257" s="1300"/>
      <c r="D257" s="1243"/>
      <c r="E257" s="1243"/>
      <c r="F257" s="1197"/>
      <c r="G257" s="1230"/>
      <c r="H257" s="1230"/>
      <c r="I257" s="1300"/>
      <c r="J257" s="1243"/>
      <c r="K257" s="1300"/>
      <c r="L257" s="690"/>
      <c r="M257" s="690"/>
      <c r="N257" s="690"/>
    </row>
    <row r="258" spans="2:14" s="48" customFormat="1" ht="15.75" customHeight="1" x14ac:dyDescent="0.25">
      <c r="B258" s="1386"/>
      <c r="C258" s="1300"/>
      <c r="D258" s="1243"/>
      <c r="E258" s="1243"/>
      <c r="F258" s="1197"/>
      <c r="G258" s="1230"/>
      <c r="H258" s="1230"/>
      <c r="I258" s="1300"/>
      <c r="J258" s="1243"/>
      <c r="K258" s="1300"/>
      <c r="L258" s="690"/>
      <c r="M258" s="690"/>
      <c r="N258" s="690"/>
    </row>
    <row r="259" spans="2:14" s="48" customFormat="1" ht="15.75" customHeight="1" x14ac:dyDescent="0.25">
      <c r="B259" s="1386"/>
      <c r="C259" s="1300"/>
      <c r="D259" s="1243"/>
      <c r="E259" s="1243"/>
      <c r="F259" s="1197"/>
      <c r="G259" s="1230"/>
      <c r="H259" s="1230"/>
      <c r="I259" s="1300"/>
      <c r="J259" s="1243"/>
      <c r="K259" s="1300"/>
      <c r="L259" s="690"/>
      <c r="M259" s="690"/>
      <c r="N259" s="690"/>
    </row>
    <row r="260" spans="2:14" s="48" customFormat="1" ht="15.75" customHeight="1" x14ac:dyDescent="0.25">
      <c r="B260" s="1386"/>
      <c r="C260" s="1300"/>
      <c r="D260" s="1243"/>
      <c r="E260" s="1243"/>
      <c r="F260" s="1197"/>
      <c r="G260" s="1230"/>
      <c r="H260" s="1230"/>
      <c r="I260" s="1300"/>
      <c r="J260" s="1243"/>
      <c r="K260" s="1300"/>
      <c r="L260" s="690"/>
      <c r="M260" s="690"/>
      <c r="N260" s="690"/>
    </row>
    <row r="261" spans="2:14" s="48" customFormat="1" ht="15.75" customHeight="1" x14ac:dyDescent="0.25">
      <c r="B261" s="1386"/>
      <c r="C261" s="1300"/>
      <c r="D261" s="1243"/>
      <c r="E261" s="1243"/>
      <c r="F261" s="1197"/>
      <c r="G261" s="1230"/>
      <c r="H261" s="1230"/>
      <c r="I261" s="1300"/>
      <c r="J261" s="1243"/>
      <c r="K261" s="1300"/>
      <c r="L261" s="690"/>
      <c r="M261" s="690"/>
      <c r="N261" s="690"/>
    </row>
    <row r="262" spans="2:14" s="48" customFormat="1" ht="15.75" customHeight="1" x14ac:dyDescent="0.25">
      <c r="B262" s="1386"/>
      <c r="C262" s="1300"/>
      <c r="D262" s="1243"/>
      <c r="E262" s="1243"/>
      <c r="F262" s="1197"/>
      <c r="G262" s="1230"/>
      <c r="H262" s="1230"/>
      <c r="I262" s="1300"/>
      <c r="J262" s="1243"/>
      <c r="K262" s="1300"/>
      <c r="L262" s="690"/>
      <c r="M262" s="690"/>
      <c r="N262" s="690"/>
    </row>
    <row r="263" spans="2:14" s="48" customFormat="1" ht="15.75" customHeight="1" x14ac:dyDescent="0.25">
      <c r="B263" s="1386"/>
      <c r="C263" s="1300"/>
      <c r="D263" s="1243"/>
      <c r="E263" s="1379"/>
      <c r="F263" s="1197"/>
      <c r="G263" s="1230"/>
      <c r="H263" s="1230"/>
      <c r="I263" s="1300"/>
      <c r="J263" s="1243"/>
      <c r="K263" s="1300"/>
      <c r="L263" s="690"/>
      <c r="M263" s="690"/>
      <c r="N263" s="690"/>
    </row>
    <row r="264" spans="2:14" s="48" customFormat="1" ht="15.75" customHeight="1" x14ac:dyDescent="0.25">
      <c r="B264" s="1386"/>
      <c r="C264" s="1300"/>
      <c r="D264" s="1243"/>
      <c r="E264" s="1379"/>
      <c r="F264" s="1197"/>
      <c r="G264" s="1230"/>
      <c r="H264" s="1230"/>
      <c r="I264" s="1300"/>
      <c r="J264" s="1243"/>
      <c r="K264" s="1300"/>
      <c r="L264" s="690"/>
      <c r="M264" s="690"/>
      <c r="N264" s="690"/>
    </row>
    <row r="265" spans="2:14" s="48" customFormat="1" ht="15.75" customHeight="1" x14ac:dyDescent="0.25">
      <c r="B265" s="1386"/>
      <c r="C265" s="1300"/>
      <c r="D265" s="1243"/>
      <c r="E265" s="1379"/>
      <c r="F265" s="1197"/>
      <c r="G265" s="1230"/>
      <c r="H265" s="1230"/>
      <c r="I265" s="1300"/>
      <c r="J265" s="1243"/>
      <c r="K265" s="1300"/>
      <c r="L265" s="690"/>
      <c r="M265" s="690"/>
      <c r="N265" s="690"/>
    </row>
    <row r="266" spans="2:14" s="48" customFormat="1" ht="15.75" customHeight="1" x14ac:dyDescent="0.25">
      <c r="B266" s="1386"/>
      <c r="C266" s="1300"/>
      <c r="D266" s="1243"/>
      <c r="E266" s="1379"/>
      <c r="F266" s="1197"/>
      <c r="G266" s="1230"/>
      <c r="H266" s="1230"/>
      <c r="I266" s="1300"/>
      <c r="J266" s="1243"/>
      <c r="K266" s="1300"/>
      <c r="L266" s="690"/>
      <c r="M266" s="690"/>
      <c r="N266" s="690"/>
    </row>
    <row r="267" spans="2:14" s="48" customFormat="1" ht="15.75" customHeight="1" x14ac:dyDescent="0.25">
      <c r="B267" s="1386"/>
      <c r="C267" s="1300"/>
      <c r="D267" s="1243"/>
      <c r="E267" s="1379"/>
      <c r="F267" s="1197"/>
      <c r="G267" s="1230"/>
      <c r="H267" s="1230"/>
      <c r="I267" s="1300"/>
      <c r="J267" s="1243"/>
      <c r="K267" s="1300"/>
      <c r="L267" s="690"/>
      <c r="M267" s="690"/>
      <c r="N267" s="690"/>
    </row>
    <row r="268" spans="2:14" s="48" customFormat="1" ht="15.75" customHeight="1" x14ac:dyDescent="0.25">
      <c r="B268" s="1386"/>
      <c r="C268" s="1300"/>
      <c r="D268" s="1243"/>
      <c r="E268" s="1379"/>
      <c r="F268" s="1197"/>
      <c r="G268" s="1230"/>
      <c r="H268" s="1230"/>
      <c r="I268" s="1300"/>
      <c r="J268" s="1243"/>
      <c r="K268" s="1300"/>
      <c r="L268" s="690"/>
      <c r="M268" s="690"/>
      <c r="N268" s="690"/>
    </row>
    <row r="269" spans="2:14" s="48" customFormat="1" ht="15.75" customHeight="1" x14ac:dyDescent="0.25">
      <c r="B269" s="1386"/>
      <c r="C269" s="1300"/>
      <c r="D269" s="1243"/>
      <c r="E269" s="1379"/>
      <c r="F269" s="1197"/>
      <c r="G269" s="1230"/>
      <c r="H269" s="1230"/>
      <c r="I269" s="1300"/>
      <c r="J269" s="1243"/>
      <c r="K269" s="1300"/>
      <c r="L269" s="690"/>
      <c r="M269" s="690"/>
      <c r="N269" s="690"/>
    </row>
    <row r="270" spans="2:14" s="48" customFormat="1" ht="15.75" customHeight="1" x14ac:dyDescent="0.25">
      <c r="B270" s="1386"/>
      <c r="C270" s="1300"/>
      <c r="D270" s="1243"/>
      <c r="E270" s="1379"/>
      <c r="F270" s="1197"/>
      <c r="G270" s="1230"/>
      <c r="H270" s="1230"/>
      <c r="I270" s="1300"/>
      <c r="J270" s="1243"/>
      <c r="K270" s="1300"/>
      <c r="L270" s="690"/>
      <c r="M270" s="690"/>
      <c r="N270" s="690"/>
    </row>
    <row r="271" spans="2:14" s="48" customFormat="1" ht="15.75" customHeight="1" x14ac:dyDescent="0.25">
      <c r="B271" s="1386"/>
      <c r="C271" s="1300"/>
      <c r="D271" s="1243"/>
      <c r="E271" s="1379"/>
      <c r="F271" s="1197"/>
      <c r="G271" s="1230"/>
      <c r="H271" s="1230"/>
      <c r="I271" s="1300"/>
      <c r="J271" s="1243"/>
      <c r="K271" s="1300"/>
      <c r="L271" s="690"/>
      <c r="M271" s="690"/>
      <c r="N271" s="690"/>
    </row>
    <row r="272" spans="2:14" s="48" customFormat="1" ht="15.75" customHeight="1" x14ac:dyDescent="0.25">
      <c r="B272" s="1386"/>
      <c r="C272" s="1300"/>
      <c r="D272" s="1243"/>
      <c r="E272" s="1379"/>
      <c r="F272" s="1197"/>
      <c r="G272" s="1230"/>
      <c r="H272" s="1230"/>
      <c r="I272" s="1300"/>
      <c r="J272" s="1243"/>
      <c r="K272" s="1300"/>
      <c r="L272" s="690"/>
      <c r="M272" s="690"/>
      <c r="N272" s="690"/>
    </row>
    <row r="273" spans="2:14" s="48" customFormat="1" ht="15.75" customHeight="1" x14ac:dyDescent="0.25">
      <c r="B273" s="1386"/>
      <c r="C273" s="1300"/>
      <c r="D273" s="1243"/>
      <c r="E273" s="1379"/>
      <c r="F273" s="1197"/>
      <c r="G273" s="1230"/>
      <c r="H273" s="1230"/>
      <c r="I273" s="1300"/>
      <c r="J273" s="1243"/>
      <c r="K273" s="1300"/>
      <c r="L273" s="690"/>
      <c r="M273" s="690"/>
      <c r="N273" s="690"/>
    </row>
    <row r="274" spans="2:14" s="48" customFormat="1" ht="15.75" customHeight="1" x14ac:dyDescent="0.25">
      <c r="B274" s="1386"/>
      <c r="C274" s="1300"/>
      <c r="D274" s="1243"/>
      <c r="E274" s="1379"/>
      <c r="F274" s="1197"/>
      <c r="G274" s="1230"/>
      <c r="H274" s="1230"/>
      <c r="I274" s="1300"/>
      <c r="J274" s="1243"/>
      <c r="K274" s="1300"/>
      <c r="L274" s="690"/>
      <c r="M274" s="690"/>
      <c r="N274" s="690"/>
    </row>
    <row r="275" spans="2:14" s="48" customFormat="1" ht="15.75" customHeight="1" x14ac:dyDescent="0.25">
      <c r="B275" s="1386"/>
      <c r="C275" s="1300"/>
      <c r="D275" s="1243"/>
      <c r="E275" s="1379"/>
      <c r="F275" s="1197"/>
      <c r="G275" s="1230"/>
      <c r="H275" s="1230"/>
      <c r="I275" s="1300"/>
      <c r="J275" s="1243"/>
      <c r="K275" s="1300"/>
      <c r="L275" s="690"/>
      <c r="M275" s="690"/>
      <c r="N275" s="690"/>
    </row>
    <row r="276" spans="2:14" s="48" customFormat="1" ht="15.75" customHeight="1" x14ac:dyDescent="0.25">
      <c r="B276" s="1386"/>
      <c r="C276" s="1300"/>
      <c r="D276" s="1243"/>
      <c r="E276" s="1379"/>
      <c r="F276" s="1197"/>
      <c r="G276" s="1230"/>
      <c r="H276" s="1230"/>
      <c r="I276" s="1300"/>
      <c r="J276" s="1243"/>
      <c r="K276" s="1300"/>
      <c r="L276" s="690"/>
      <c r="M276" s="690"/>
      <c r="N276" s="690"/>
    </row>
    <row r="277" spans="2:14" s="48" customFormat="1" ht="15.75" customHeight="1" x14ac:dyDescent="0.25">
      <c r="B277" s="1386"/>
      <c r="C277" s="1300"/>
      <c r="D277" s="1243"/>
      <c r="E277" s="1379"/>
      <c r="F277" s="1197"/>
      <c r="G277" s="1230"/>
      <c r="H277" s="1230"/>
      <c r="I277" s="1300"/>
      <c r="J277" s="1243"/>
      <c r="K277" s="1300"/>
      <c r="L277" s="690"/>
      <c r="M277" s="690"/>
      <c r="N277" s="690"/>
    </row>
    <row r="278" spans="2:14" s="48" customFormat="1" ht="15.75" customHeight="1" x14ac:dyDescent="0.25">
      <c r="B278" s="1386"/>
      <c r="C278" s="1300"/>
      <c r="D278" s="1243"/>
      <c r="E278" s="1379"/>
      <c r="F278" s="1197"/>
      <c r="G278" s="1230"/>
      <c r="H278" s="1230"/>
      <c r="I278" s="1300"/>
      <c r="J278" s="1243"/>
      <c r="K278" s="1300"/>
      <c r="L278" s="690"/>
      <c r="M278" s="690"/>
      <c r="N278" s="690"/>
    </row>
    <row r="279" spans="2:14" s="48" customFormat="1" ht="15.75" customHeight="1" x14ac:dyDescent="0.25">
      <c r="B279" s="1386"/>
      <c r="C279" s="1300"/>
      <c r="D279" s="1243"/>
      <c r="E279" s="1379"/>
      <c r="F279" s="1197"/>
      <c r="G279" s="1230"/>
      <c r="H279" s="1230"/>
      <c r="I279" s="1300"/>
      <c r="J279" s="1243"/>
      <c r="K279" s="1300"/>
      <c r="L279" s="690"/>
      <c r="M279" s="690"/>
      <c r="N279" s="690"/>
    </row>
    <row r="280" spans="2:14" s="48" customFormat="1" ht="15.75" customHeight="1" x14ac:dyDescent="0.25">
      <c r="B280" s="1386"/>
      <c r="C280" s="1300"/>
      <c r="D280" s="1243"/>
      <c r="E280" s="1379"/>
      <c r="F280" s="1197"/>
      <c r="G280" s="1230"/>
      <c r="H280" s="1230"/>
      <c r="I280" s="1300"/>
      <c r="J280" s="1243"/>
      <c r="K280" s="1300"/>
      <c r="L280" s="690"/>
      <c r="M280" s="690"/>
      <c r="N280" s="690"/>
    </row>
    <row r="281" spans="2:14" s="48" customFormat="1" ht="15.75" customHeight="1" x14ac:dyDescent="0.25">
      <c r="B281" s="1386"/>
      <c r="C281" s="1300"/>
      <c r="D281" s="1243"/>
      <c r="E281" s="1379"/>
      <c r="F281" s="1197"/>
      <c r="G281" s="1230"/>
      <c r="H281" s="1230"/>
      <c r="I281" s="1300"/>
      <c r="J281" s="1243"/>
      <c r="K281" s="1300"/>
      <c r="L281" s="690"/>
      <c r="M281" s="690"/>
      <c r="N281" s="690"/>
    </row>
    <row r="282" spans="2:14" s="48" customFormat="1" ht="15.75" customHeight="1" x14ac:dyDescent="0.25">
      <c r="B282" s="1386"/>
      <c r="C282" s="1300"/>
      <c r="D282" s="1243"/>
      <c r="E282" s="1379"/>
      <c r="F282" s="1197"/>
      <c r="G282" s="1230"/>
      <c r="H282" s="1230"/>
      <c r="I282" s="1300"/>
      <c r="J282" s="1243"/>
      <c r="K282" s="1300"/>
      <c r="L282" s="690"/>
      <c r="M282" s="690"/>
      <c r="N282" s="690"/>
    </row>
    <row r="283" spans="2:14" s="48" customFormat="1" ht="15.75" customHeight="1" x14ac:dyDescent="0.25">
      <c r="B283" s="1386"/>
      <c r="C283" s="1300"/>
      <c r="D283" s="1243"/>
      <c r="E283" s="1379"/>
      <c r="F283" s="1197"/>
      <c r="G283" s="1230"/>
      <c r="H283" s="1230"/>
      <c r="I283" s="1300"/>
      <c r="J283" s="1243"/>
      <c r="K283" s="1300"/>
      <c r="L283" s="690"/>
      <c r="M283" s="690"/>
      <c r="N283" s="690"/>
    </row>
    <row r="284" spans="2:14" s="48" customFormat="1" ht="15.75" customHeight="1" x14ac:dyDescent="0.25">
      <c r="B284" s="1386"/>
      <c r="C284" s="1300"/>
      <c r="D284" s="1243"/>
      <c r="E284" s="1379"/>
      <c r="F284" s="1197"/>
      <c r="G284" s="1230"/>
      <c r="H284" s="1230"/>
      <c r="I284" s="1300"/>
      <c r="J284" s="1243"/>
      <c r="K284" s="1300"/>
      <c r="L284" s="690"/>
      <c r="M284" s="690"/>
      <c r="N284" s="690"/>
    </row>
    <row r="285" spans="2:14" s="48" customFormat="1" ht="15.75" customHeight="1" x14ac:dyDescent="0.25">
      <c r="B285" s="1386"/>
      <c r="C285" s="1300"/>
      <c r="D285" s="1243"/>
      <c r="E285" s="1379"/>
      <c r="F285" s="1197"/>
      <c r="G285" s="1230"/>
      <c r="H285" s="1230"/>
      <c r="I285" s="1300"/>
      <c r="J285" s="1243"/>
      <c r="K285" s="1300"/>
      <c r="L285" s="690"/>
      <c r="M285" s="690"/>
      <c r="N285" s="690"/>
    </row>
    <row r="286" spans="2:14" s="48" customFormat="1" ht="15.75" customHeight="1" x14ac:dyDescent="0.25">
      <c r="B286" s="1386"/>
      <c r="C286" s="1300"/>
      <c r="D286" s="1243"/>
      <c r="E286" s="1379"/>
      <c r="F286" s="1197"/>
      <c r="G286" s="1230"/>
      <c r="H286" s="1230"/>
      <c r="I286" s="1300"/>
      <c r="J286" s="1243"/>
      <c r="K286" s="1300"/>
      <c r="L286" s="690"/>
      <c r="M286" s="690"/>
      <c r="N286" s="690"/>
    </row>
    <row r="287" spans="2:14" s="48" customFormat="1" ht="15.75" customHeight="1" x14ac:dyDescent="0.25">
      <c r="B287" s="1386"/>
      <c r="C287" s="1300"/>
      <c r="D287" s="1243"/>
      <c r="E287" s="1379"/>
      <c r="F287" s="1197"/>
      <c r="G287" s="1230"/>
      <c r="H287" s="1230"/>
      <c r="I287" s="1300"/>
      <c r="J287" s="1243"/>
      <c r="K287" s="1300"/>
      <c r="L287" s="690"/>
      <c r="M287" s="690"/>
      <c r="N287" s="690"/>
    </row>
    <row r="288" spans="2:14" s="48" customFormat="1" ht="15.75" customHeight="1" x14ac:dyDescent="0.25">
      <c r="B288" s="1386"/>
      <c r="C288" s="1300"/>
      <c r="D288" s="1243"/>
      <c r="E288" s="1379"/>
      <c r="F288" s="1197"/>
      <c r="G288" s="1230"/>
      <c r="H288" s="1230"/>
      <c r="I288" s="1300"/>
      <c r="J288" s="1243"/>
      <c r="K288" s="1300"/>
      <c r="L288" s="690"/>
      <c r="M288" s="690"/>
      <c r="N288" s="690"/>
    </row>
    <row r="289" spans="2:14" s="48" customFormat="1" ht="15.75" customHeight="1" x14ac:dyDescent="0.25">
      <c r="B289" s="1386"/>
      <c r="C289" s="1300"/>
      <c r="D289" s="1243"/>
      <c r="E289" s="1379"/>
      <c r="F289" s="1197"/>
      <c r="G289" s="1230"/>
      <c r="H289" s="1230"/>
      <c r="I289" s="1300"/>
      <c r="J289" s="1243"/>
      <c r="K289" s="1300"/>
      <c r="L289" s="690"/>
      <c r="M289" s="690"/>
      <c r="N289" s="690"/>
    </row>
    <row r="290" spans="2:14" s="48" customFormat="1" ht="15.75" customHeight="1" x14ac:dyDescent="0.25">
      <c r="B290" s="1386"/>
      <c r="C290" s="1300"/>
      <c r="D290" s="1243"/>
      <c r="E290" s="1379"/>
      <c r="F290" s="1197"/>
      <c r="G290" s="1230"/>
      <c r="H290" s="1230"/>
      <c r="I290" s="1300"/>
      <c r="J290" s="1243"/>
      <c r="K290" s="1300"/>
      <c r="L290" s="690"/>
      <c r="M290" s="690"/>
      <c r="N290" s="690"/>
    </row>
    <row r="291" spans="2:14" s="48" customFormat="1" ht="15.75" customHeight="1" x14ac:dyDescent="0.25">
      <c r="B291" s="1386"/>
      <c r="C291" s="1300"/>
      <c r="D291" s="1243"/>
      <c r="E291" s="1379"/>
      <c r="F291" s="1197"/>
      <c r="G291" s="1230"/>
      <c r="H291" s="1230"/>
      <c r="I291" s="1300"/>
      <c r="J291" s="1243"/>
      <c r="K291" s="1300"/>
      <c r="L291" s="690"/>
      <c r="M291" s="690"/>
      <c r="N291" s="690"/>
    </row>
    <row r="292" spans="2:14" s="48" customFormat="1" ht="15.75" customHeight="1" x14ac:dyDescent="0.25">
      <c r="B292" s="1386"/>
      <c r="C292" s="1300"/>
      <c r="D292" s="1243"/>
      <c r="E292" s="1379"/>
      <c r="F292" s="1197"/>
      <c r="G292" s="1230"/>
      <c r="H292" s="1230"/>
      <c r="I292" s="1300"/>
      <c r="J292" s="1243"/>
      <c r="K292" s="1300"/>
      <c r="L292" s="690"/>
      <c r="M292" s="690"/>
      <c r="N292" s="690"/>
    </row>
    <row r="293" spans="2:14" s="48" customFormat="1" ht="15.75" customHeight="1" x14ac:dyDescent="0.25">
      <c r="B293" s="1386"/>
      <c r="C293" s="1300"/>
      <c r="D293" s="1243"/>
      <c r="E293" s="1379"/>
      <c r="F293" s="1197"/>
      <c r="G293" s="1230"/>
      <c r="H293" s="1230"/>
      <c r="I293" s="1300"/>
      <c r="J293" s="1243"/>
      <c r="K293" s="1300"/>
      <c r="L293" s="690"/>
      <c r="M293" s="690"/>
      <c r="N293" s="690"/>
    </row>
    <row r="294" spans="2:14" s="48" customFormat="1" ht="15.75" customHeight="1" x14ac:dyDescent="0.25">
      <c r="B294" s="1386"/>
      <c r="C294" s="1300"/>
      <c r="D294" s="1243"/>
      <c r="E294" s="1379"/>
      <c r="F294" s="1197"/>
      <c r="G294" s="1230"/>
      <c r="H294" s="1230"/>
      <c r="I294" s="1300"/>
      <c r="J294" s="1243"/>
      <c r="K294" s="1300"/>
      <c r="L294" s="690"/>
      <c r="M294" s="690"/>
      <c r="N294" s="690"/>
    </row>
    <row r="295" spans="2:14" s="48" customFormat="1" ht="15.75" customHeight="1" x14ac:dyDescent="0.25">
      <c r="B295" s="1386"/>
      <c r="C295" s="1300"/>
      <c r="D295" s="1243"/>
      <c r="E295" s="1379"/>
      <c r="F295" s="1197"/>
      <c r="G295" s="1230"/>
      <c r="H295" s="1230"/>
      <c r="I295" s="1300"/>
      <c r="J295" s="1243"/>
      <c r="K295" s="1300"/>
      <c r="L295" s="690"/>
      <c r="M295" s="690"/>
      <c r="N295" s="690"/>
    </row>
    <row r="296" spans="2:14" s="48" customFormat="1" ht="15.75" customHeight="1" x14ac:dyDescent="0.25">
      <c r="B296" s="1386"/>
      <c r="C296" s="1300"/>
      <c r="D296" s="1243"/>
      <c r="E296" s="1379"/>
      <c r="F296" s="1197"/>
      <c r="G296" s="1230"/>
      <c r="H296" s="1230"/>
      <c r="I296" s="1300"/>
      <c r="J296" s="1243"/>
      <c r="K296" s="1300"/>
      <c r="L296" s="690"/>
      <c r="M296" s="690"/>
      <c r="N296" s="690"/>
    </row>
    <row r="297" spans="2:14" s="48" customFormat="1" ht="15.75" customHeight="1" x14ac:dyDescent="0.25">
      <c r="B297" s="1386"/>
      <c r="C297" s="1300"/>
      <c r="D297" s="1243"/>
      <c r="E297" s="1379"/>
      <c r="F297" s="1197"/>
      <c r="G297" s="1230"/>
      <c r="H297" s="1230"/>
      <c r="I297" s="1300"/>
      <c r="J297" s="1243"/>
      <c r="K297" s="1300"/>
      <c r="L297" s="690"/>
      <c r="M297" s="690"/>
      <c r="N297" s="690"/>
    </row>
    <row r="298" spans="2:14" s="48" customFormat="1" ht="15.75" customHeight="1" x14ac:dyDescent="0.25">
      <c r="B298" s="1386"/>
      <c r="C298" s="1300"/>
      <c r="D298" s="1243"/>
      <c r="E298" s="1379"/>
      <c r="F298" s="1197"/>
      <c r="G298" s="1230"/>
      <c r="H298" s="1230"/>
      <c r="I298" s="1300"/>
      <c r="J298" s="1243"/>
      <c r="K298" s="1300"/>
      <c r="L298" s="690"/>
      <c r="M298" s="690"/>
      <c r="N298" s="690"/>
    </row>
    <row r="299" spans="2:14" s="48" customFormat="1" ht="15.75" customHeight="1" x14ac:dyDescent="0.25">
      <c r="B299" s="1386"/>
      <c r="C299" s="1300"/>
      <c r="D299" s="1243"/>
      <c r="E299" s="1379"/>
      <c r="F299" s="1197"/>
      <c r="G299" s="1230"/>
      <c r="H299" s="1230"/>
      <c r="I299" s="1300"/>
      <c r="J299" s="1243"/>
      <c r="K299" s="1300"/>
      <c r="L299" s="690"/>
      <c r="M299" s="690"/>
      <c r="N299" s="690"/>
    </row>
    <row r="300" spans="2:14" s="48" customFormat="1" ht="15.75" customHeight="1" x14ac:dyDescent="0.25">
      <c r="B300" s="1386"/>
      <c r="C300" s="1300"/>
      <c r="D300" s="1243"/>
      <c r="E300" s="1379"/>
      <c r="F300" s="1197"/>
      <c r="G300" s="1230"/>
      <c r="H300" s="1230"/>
      <c r="I300" s="1300"/>
      <c r="J300" s="1243"/>
      <c r="K300" s="1300"/>
      <c r="L300" s="690"/>
      <c r="M300" s="690"/>
      <c r="N300" s="690"/>
    </row>
    <row r="301" spans="2:14" s="48" customFormat="1" ht="15.75" customHeight="1" x14ac:dyDescent="0.25">
      <c r="B301" s="1386"/>
      <c r="C301" s="1300"/>
      <c r="D301" s="1243"/>
      <c r="E301" s="1379"/>
      <c r="F301" s="1197"/>
      <c r="G301" s="1230"/>
      <c r="H301" s="1230"/>
      <c r="I301" s="1300"/>
      <c r="J301" s="1243"/>
      <c r="K301" s="1300"/>
      <c r="L301" s="690"/>
      <c r="M301" s="690"/>
      <c r="N301" s="690"/>
    </row>
    <row r="302" spans="2:14" s="48" customFormat="1" ht="15.75" customHeight="1" x14ac:dyDescent="0.25">
      <c r="B302" s="1386"/>
      <c r="C302" s="1300"/>
      <c r="D302" s="1243"/>
      <c r="E302" s="1379"/>
      <c r="F302" s="1197"/>
      <c r="G302" s="1230"/>
      <c r="H302" s="1230"/>
      <c r="I302" s="1300"/>
      <c r="J302" s="1243"/>
      <c r="K302" s="1300"/>
      <c r="L302" s="690"/>
      <c r="M302" s="690"/>
      <c r="N302" s="690"/>
    </row>
    <row r="303" spans="2:14" s="48" customFormat="1" ht="15.75" customHeight="1" x14ac:dyDescent="0.25">
      <c r="B303" s="1386"/>
      <c r="C303" s="1300"/>
      <c r="D303" s="1243"/>
      <c r="E303" s="1379"/>
      <c r="F303" s="1197"/>
      <c r="G303" s="1230"/>
      <c r="H303" s="1230"/>
      <c r="I303" s="1300"/>
      <c r="J303" s="1243"/>
      <c r="K303" s="1300"/>
      <c r="L303" s="690"/>
      <c r="M303" s="690"/>
      <c r="N303" s="690"/>
    </row>
    <row r="304" spans="2:14" s="48" customFormat="1" ht="15.75" customHeight="1" x14ac:dyDescent="0.25">
      <c r="B304" s="1386"/>
      <c r="C304" s="1300"/>
      <c r="D304" s="1243"/>
      <c r="E304" s="1379"/>
      <c r="F304" s="1197"/>
      <c r="G304" s="1230"/>
      <c r="H304" s="1230"/>
      <c r="I304" s="1300"/>
      <c r="J304" s="1243"/>
      <c r="K304" s="1300"/>
      <c r="L304" s="690"/>
      <c r="M304" s="690"/>
      <c r="N304" s="690"/>
    </row>
    <row r="305" spans="2:14" s="48" customFormat="1" ht="15.75" customHeight="1" x14ac:dyDescent="0.25">
      <c r="B305" s="1386"/>
      <c r="C305" s="1300"/>
      <c r="D305" s="1243"/>
      <c r="E305" s="1379"/>
      <c r="F305" s="1197"/>
      <c r="G305" s="1230"/>
      <c r="H305" s="1230"/>
      <c r="I305" s="1300"/>
      <c r="J305" s="1243"/>
      <c r="K305" s="1300"/>
      <c r="L305" s="690"/>
      <c r="M305" s="690"/>
      <c r="N305" s="690"/>
    </row>
    <row r="306" spans="2:14" s="48" customFormat="1" ht="15.75" customHeight="1" x14ac:dyDescent="0.25">
      <c r="B306" s="1386"/>
      <c r="C306" s="1300"/>
      <c r="D306" s="1243"/>
      <c r="E306" s="1379"/>
      <c r="F306" s="1197"/>
      <c r="G306" s="1230"/>
      <c r="H306" s="1230"/>
      <c r="I306" s="1300"/>
      <c r="J306" s="1243"/>
      <c r="K306" s="1300"/>
      <c r="L306" s="690"/>
      <c r="M306" s="690"/>
      <c r="N306" s="690"/>
    </row>
    <row r="307" spans="2:14" s="48" customFormat="1" ht="15.75" customHeight="1" x14ac:dyDescent="0.25">
      <c r="B307" s="1386"/>
      <c r="C307" s="1300"/>
      <c r="D307" s="1243"/>
      <c r="E307" s="1379"/>
      <c r="F307" s="1197"/>
      <c r="G307" s="1230"/>
      <c r="H307" s="1230"/>
      <c r="I307" s="1300"/>
      <c r="J307" s="1243"/>
      <c r="K307" s="1300"/>
      <c r="L307" s="690"/>
      <c r="M307" s="690"/>
      <c r="N307" s="690"/>
    </row>
    <row r="308" spans="2:14" s="48" customFormat="1" ht="15.75" customHeight="1" x14ac:dyDescent="0.25">
      <c r="B308" s="1386"/>
      <c r="C308" s="1300"/>
      <c r="D308" s="1243"/>
      <c r="E308" s="1379"/>
      <c r="F308" s="1197"/>
      <c r="G308" s="1230"/>
      <c r="H308" s="1230"/>
      <c r="I308" s="1300"/>
      <c r="J308" s="1243"/>
      <c r="K308" s="1300"/>
      <c r="L308" s="690"/>
      <c r="M308" s="690"/>
      <c r="N308" s="690"/>
    </row>
    <row r="309" spans="2:14" s="48" customFormat="1" ht="15.75" customHeight="1" x14ac:dyDescent="0.25">
      <c r="B309" s="1386"/>
      <c r="C309" s="1300"/>
      <c r="D309" s="1243"/>
      <c r="E309" s="1379"/>
      <c r="F309" s="1197"/>
      <c r="G309" s="1230"/>
      <c r="H309" s="1230"/>
      <c r="I309" s="1300"/>
      <c r="J309" s="1243"/>
      <c r="K309" s="1300"/>
      <c r="L309" s="690"/>
      <c r="M309" s="690"/>
      <c r="N309" s="690"/>
    </row>
    <row r="310" spans="2:14" s="48" customFormat="1" ht="15.75" customHeight="1" x14ac:dyDescent="0.25">
      <c r="B310" s="1386"/>
      <c r="C310" s="1300"/>
      <c r="D310" s="1243"/>
      <c r="E310" s="1379"/>
      <c r="F310" s="1197"/>
      <c r="G310" s="1230"/>
      <c r="H310" s="1230"/>
      <c r="I310" s="1300"/>
      <c r="J310" s="1243"/>
      <c r="K310" s="1300"/>
      <c r="L310" s="690"/>
      <c r="M310" s="690"/>
      <c r="N310" s="690"/>
    </row>
    <row r="311" spans="2:14" s="48" customFormat="1" ht="15.75" customHeight="1" x14ac:dyDescent="0.25">
      <c r="B311" s="1378"/>
      <c r="C311" s="1300"/>
      <c r="D311" s="1243"/>
      <c r="E311" s="1379"/>
      <c r="F311" s="1197"/>
      <c r="G311" s="1230"/>
      <c r="H311" s="1230"/>
      <c r="I311" s="1300"/>
      <c r="J311" s="1243"/>
      <c r="K311" s="1300"/>
      <c r="L311" s="690"/>
      <c r="M311" s="690"/>
      <c r="N311" s="690"/>
    </row>
    <row r="312" spans="2:14" s="48" customFormat="1" ht="15.75" customHeight="1" x14ac:dyDescent="0.25">
      <c r="B312" s="1378"/>
      <c r="C312" s="1300"/>
      <c r="D312" s="1243"/>
      <c r="E312" s="1379"/>
      <c r="F312" s="1197"/>
      <c r="G312" s="1230"/>
      <c r="H312" s="1230"/>
      <c r="I312" s="1300"/>
      <c r="J312" s="1243"/>
      <c r="K312" s="1300"/>
      <c r="L312" s="690"/>
      <c r="M312" s="690"/>
      <c r="N312" s="690"/>
    </row>
    <row r="313" spans="2:14" s="48" customFormat="1" ht="15.75" customHeight="1" x14ac:dyDescent="0.25">
      <c r="B313" s="1378"/>
      <c r="C313" s="1300"/>
      <c r="D313" s="1243"/>
      <c r="E313" s="1379"/>
      <c r="F313" s="1197"/>
      <c r="G313" s="1230"/>
      <c r="H313" s="1230"/>
      <c r="I313" s="1300"/>
      <c r="J313" s="1243"/>
      <c r="K313" s="1300"/>
      <c r="L313" s="690"/>
      <c r="M313" s="690"/>
      <c r="N313" s="690"/>
    </row>
    <row r="314" spans="2:14" s="48" customFormat="1" ht="15.75" customHeight="1" x14ac:dyDescent="0.25">
      <c r="B314" s="1378"/>
      <c r="C314" s="1300"/>
      <c r="D314" s="1243"/>
      <c r="E314" s="1379"/>
      <c r="F314" s="1197"/>
      <c r="G314" s="1230"/>
      <c r="H314" s="1230"/>
      <c r="I314" s="1300"/>
      <c r="J314" s="1243"/>
      <c r="K314" s="1300"/>
      <c r="L314" s="690"/>
      <c r="M314" s="690"/>
      <c r="N314" s="690"/>
    </row>
    <row r="315" spans="2:14" s="48" customFormat="1" ht="15.75" customHeight="1" x14ac:dyDescent="0.25">
      <c r="B315" s="1378"/>
      <c r="C315" s="1300"/>
      <c r="D315" s="1243"/>
      <c r="E315" s="1379"/>
      <c r="F315" s="1197"/>
      <c r="G315" s="1230"/>
      <c r="H315" s="1230"/>
      <c r="I315" s="1300"/>
      <c r="J315" s="1243"/>
      <c r="K315" s="1300"/>
      <c r="L315" s="690"/>
      <c r="M315" s="690"/>
      <c r="N315" s="690"/>
    </row>
    <row r="316" spans="2:14" s="48" customFormat="1" ht="15.75" customHeight="1" x14ac:dyDescent="0.25">
      <c r="B316" s="1378"/>
      <c r="C316" s="1300"/>
      <c r="D316" s="1243"/>
      <c r="E316" s="1379"/>
      <c r="F316" s="1197"/>
      <c r="G316" s="1230"/>
      <c r="H316" s="1230"/>
      <c r="I316" s="1300"/>
      <c r="J316" s="1243"/>
      <c r="K316" s="1300"/>
      <c r="L316" s="690"/>
      <c r="M316" s="690"/>
      <c r="N316" s="690"/>
    </row>
    <row r="317" spans="2:14" s="48" customFormat="1" ht="15.75" customHeight="1" x14ac:dyDescent="0.25">
      <c r="B317" s="1378"/>
      <c r="C317" s="1300"/>
      <c r="D317" s="1243"/>
      <c r="E317" s="1379"/>
      <c r="F317" s="1197"/>
      <c r="G317" s="1230"/>
      <c r="H317" s="1230"/>
      <c r="I317" s="1300"/>
      <c r="J317" s="1243"/>
      <c r="K317" s="1300"/>
      <c r="L317" s="690"/>
      <c r="M317" s="690"/>
      <c r="N317" s="690"/>
    </row>
    <row r="318" spans="2:14" s="48" customFormat="1" ht="15.75" customHeight="1" x14ac:dyDescent="0.25">
      <c r="B318" s="1378"/>
      <c r="C318" s="1300"/>
      <c r="D318" s="1243"/>
      <c r="E318" s="1379"/>
      <c r="F318" s="1197"/>
      <c r="G318" s="1230"/>
      <c r="H318" s="1230"/>
      <c r="I318" s="1300"/>
      <c r="J318" s="1243"/>
      <c r="K318" s="1300"/>
      <c r="L318" s="690"/>
      <c r="M318" s="690"/>
      <c r="N318" s="690"/>
    </row>
    <row r="319" spans="2:14" s="48" customFormat="1" ht="15.75" customHeight="1" x14ac:dyDescent="0.25">
      <c r="B319" s="1378"/>
      <c r="C319" s="1300"/>
      <c r="D319" s="1243"/>
      <c r="E319" s="1379"/>
      <c r="F319" s="1197"/>
      <c r="G319" s="1230"/>
      <c r="H319" s="1230"/>
      <c r="I319" s="1300"/>
      <c r="J319" s="1243"/>
      <c r="K319" s="1300"/>
      <c r="L319" s="690"/>
      <c r="M319" s="690"/>
      <c r="N319" s="690"/>
    </row>
    <row r="320" spans="2:14" s="48" customFormat="1" ht="15.75" customHeight="1" x14ac:dyDescent="0.25">
      <c r="B320" s="1378"/>
      <c r="C320" s="1300"/>
      <c r="D320" s="1243"/>
      <c r="E320" s="1379"/>
      <c r="F320" s="1197"/>
      <c r="G320" s="1230"/>
      <c r="H320" s="1230"/>
      <c r="I320" s="1300"/>
      <c r="J320" s="1243"/>
      <c r="K320" s="1300"/>
      <c r="L320" s="690"/>
      <c r="M320" s="690"/>
      <c r="N320" s="690"/>
    </row>
    <row r="321" spans="2:14" s="48" customFormat="1" ht="15.75" customHeight="1" x14ac:dyDescent="0.25">
      <c r="B321" s="1378"/>
      <c r="C321" s="1300"/>
      <c r="D321" s="1243"/>
      <c r="E321" s="1379"/>
      <c r="F321" s="1197"/>
      <c r="G321" s="1230"/>
      <c r="H321" s="1230"/>
      <c r="I321" s="1300"/>
      <c r="J321" s="1243"/>
      <c r="K321" s="1300"/>
      <c r="L321" s="690"/>
      <c r="M321" s="690"/>
      <c r="N321" s="690"/>
    </row>
    <row r="322" spans="2:14" s="48" customFormat="1" ht="15.75" customHeight="1" x14ac:dyDescent="0.25">
      <c r="B322" s="1378"/>
      <c r="C322" s="1300"/>
      <c r="D322" s="1243"/>
      <c r="E322" s="1379"/>
      <c r="F322" s="1197"/>
      <c r="G322" s="1230"/>
      <c r="H322" s="1230"/>
      <c r="I322" s="1300"/>
      <c r="J322" s="1243"/>
      <c r="K322" s="1300"/>
      <c r="L322" s="690"/>
      <c r="M322" s="690"/>
      <c r="N322" s="690"/>
    </row>
    <row r="323" spans="2:14" s="48" customFormat="1" ht="18" customHeight="1" x14ac:dyDescent="0.25">
      <c r="B323" s="1378"/>
      <c r="C323" s="1300"/>
      <c r="D323" s="1243"/>
      <c r="E323" s="1379"/>
      <c r="F323" s="1197"/>
      <c r="G323" s="1230"/>
      <c r="H323" s="1230"/>
      <c r="I323" s="1300"/>
      <c r="J323" s="1243"/>
      <c r="K323" s="1300"/>
      <c r="L323" s="690"/>
      <c r="M323" s="690"/>
      <c r="N323" s="690"/>
    </row>
    <row r="324" spans="2:14" s="48" customFormat="1" ht="16.5" customHeight="1" x14ac:dyDescent="0.25">
      <c r="B324" s="1378"/>
      <c r="C324" s="1300"/>
      <c r="D324" s="1243"/>
      <c r="E324" s="1379"/>
      <c r="F324" s="1197"/>
      <c r="G324" s="1230"/>
      <c r="H324" s="1230"/>
      <c r="I324" s="1300"/>
      <c r="J324" s="1243"/>
      <c r="K324" s="1300"/>
      <c r="L324" s="690"/>
      <c r="M324" s="690"/>
      <c r="N324" s="690"/>
    </row>
    <row r="325" spans="2:14" s="48" customFormat="1" ht="15.75" customHeight="1" x14ac:dyDescent="0.25">
      <c r="B325" s="1378"/>
      <c r="C325" s="1300"/>
      <c r="D325" s="1243"/>
      <c r="E325" s="1379"/>
      <c r="F325" s="1197"/>
      <c r="G325" s="1230"/>
      <c r="H325" s="1230"/>
      <c r="I325" s="1300"/>
      <c r="J325" s="1243"/>
      <c r="K325" s="1300"/>
      <c r="L325" s="690"/>
      <c r="M325" s="690"/>
      <c r="N325" s="690"/>
    </row>
    <row r="326" spans="2:14" s="48" customFormat="1" ht="15" customHeight="1" x14ac:dyDescent="0.25">
      <c r="B326" s="1378"/>
      <c r="C326" s="1300"/>
      <c r="D326" s="1243"/>
      <c r="E326" s="1379"/>
      <c r="F326" s="1197"/>
      <c r="G326" s="1230"/>
      <c r="H326" s="1230"/>
      <c r="I326" s="1300"/>
      <c r="J326" s="1243"/>
      <c r="K326" s="1300"/>
      <c r="L326" s="690"/>
      <c r="M326" s="690"/>
      <c r="N326" s="690"/>
    </row>
    <row r="327" spans="2:14" s="48" customFormat="1" ht="17.25" customHeight="1" x14ac:dyDescent="0.25">
      <c r="B327" s="1378"/>
      <c r="C327" s="1300"/>
      <c r="D327" s="1243"/>
      <c r="E327" s="1379"/>
      <c r="F327" s="1197"/>
      <c r="G327" s="1230"/>
      <c r="H327" s="1230"/>
      <c r="I327" s="1300"/>
      <c r="J327" s="1243"/>
      <c r="K327" s="1300"/>
      <c r="L327" s="690"/>
      <c r="M327" s="690"/>
      <c r="N327" s="690"/>
    </row>
    <row r="328" spans="2:14" s="48" customFormat="1" ht="18" customHeight="1" x14ac:dyDescent="0.25">
      <c r="B328" s="1378"/>
      <c r="C328" s="1300"/>
      <c r="D328" s="1243"/>
      <c r="E328" s="1379"/>
      <c r="F328" s="1197"/>
      <c r="G328" s="1230"/>
      <c r="H328" s="1230"/>
      <c r="I328" s="1300"/>
      <c r="J328" s="1243"/>
      <c r="K328" s="1300"/>
      <c r="L328" s="690"/>
      <c r="M328" s="690"/>
      <c r="N328" s="690"/>
    </row>
    <row r="329" spans="2:14" s="48" customFormat="1" ht="16.5" customHeight="1" x14ac:dyDescent="0.25">
      <c r="B329" s="1378"/>
      <c r="C329" s="1300"/>
      <c r="D329" s="1243"/>
      <c r="E329" s="1379"/>
      <c r="F329" s="1197"/>
      <c r="G329" s="1230"/>
      <c r="H329" s="1230"/>
      <c r="I329" s="1300"/>
      <c r="J329" s="1243"/>
      <c r="K329" s="1300"/>
      <c r="L329" s="690"/>
      <c r="M329" s="690"/>
      <c r="N329" s="690"/>
    </row>
    <row r="330" spans="2:14" s="48" customFormat="1" ht="15.75" customHeight="1" x14ac:dyDescent="0.25">
      <c r="B330" s="1378"/>
      <c r="C330" s="1300"/>
      <c r="D330" s="1243"/>
      <c r="E330" s="1379"/>
      <c r="F330" s="1197"/>
      <c r="G330" s="1230"/>
      <c r="H330" s="1230"/>
      <c r="I330" s="1300"/>
      <c r="J330" s="1243"/>
      <c r="K330" s="1300"/>
      <c r="L330" s="690"/>
      <c r="M330" s="690"/>
      <c r="N330" s="690"/>
    </row>
    <row r="331" spans="2:14" s="48" customFormat="1" ht="16.5" customHeight="1" x14ac:dyDescent="0.25">
      <c r="B331" s="1378"/>
      <c r="C331" s="1300"/>
      <c r="D331" s="1243"/>
      <c r="E331" s="1379"/>
      <c r="F331" s="1197"/>
      <c r="G331" s="1230"/>
      <c r="H331" s="1230"/>
      <c r="I331" s="1300"/>
      <c r="J331" s="1243"/>
      <c r="K331" s="1300"/>
      <c r="L331" s="690"/>
      <c r="M331" s="690"/>
      <c r="N331" s="690"/>
    </row>
    <row r="332" spans="2:14" s="48" customFormat="1" ht="18" customHeight="1" x14ac:dyDescent="0.25">
      <c r="B332" s="1378"/>
      <c r="C332" s="1300"/>
      <c r="D332" s="1243"/>
      <c r="E332" s="1379"/>
      <c r="F332" s="1197"/>
      <c r="G332" s="1230"/>
      <c r="H332" s="1230"/>
      <c r="I332" s="1300"/>
      <c r="J332" s="1243"/>
      <c r="K332" s="1300"/>
      <c r="L332" s="690"/>
      <c r="M332" s="690"/>
      <c r="N332" s="690"/>
    </row>
    <row r="333" spans="2:14" s="48" customFormat="1" ht="17.25" customHeight="1" x14ac:dyDescent="0.25">
      <c r="B333" s="1378"/>
      <c r="C333" s="1300"/>
      <c r="D333" s="1243"/>
      <c r="E333" s="1379"/>
      <c r="F333" s="1197"/>
      <c r="G333" s="1230"/>
      <c r="H333" s="1230"/>
      <c r="I333" s="1300"/>
      <c r="J333" s="1243"/>
      <c r="K333" s="1300"/>
      <c r="L333" s="690"/>
      <c r="M333" s="690"/>
      <c r="N333" s="690"/>
    </row>
    <row r="334" spans="2:14" s="48" customFormat="1" ht="18.75" customHeight="1" x14ac:dyDescent="0.25">
      <c r="B334" s="1378"/>
      <c r="C334" s="1300"/>
      <c r="D334" s="1243"/>
      <c r="E334" s="1379"/>
      <c r="F334" s="1197"/>
      <c r="G334" s="1230"/>
      <c r="H334" s="1230"/>
      <c r="I334" s="1300"/>
      <c r="J334" s="1243"/>
      <c r="K334" s="1300"/>
      <c r="L334" s="690"/>
      <c r="M334" s="690"/>
      <c r="N334" s="690"/>
    </row>
    <row r="335" spans="2:14" s="48" customFormat="1" ht="18.75" customHeight="1" x14ac:dyDescent="0.25">
      <c r="B335" s="1378"/>
      <c r="C335" s="1300"/>
      <c r="D335" s="1243"/>
      <c r="E335" s="1379"/>
      <c r="F335" s="1197"/>
      <c r="G335" s="1230"/>
      <c r="H335" s="1230"/>
      <c r="I335" s="1300"/>
      <c r="J335" s="1243"/>
      <c r="K335" s="1300"/>
      <c r="L335" s="690"/>
      <c r="M335" s="690"/>
      <c r="N335" s="690"/>
    </row>
    <row r="336" spans="2:14" s="48" customFormat="1" ht="18.75" customHeight="1" x14ac:dyDescent="0.25">
      <c r="B336" s="1378"/>
      <c r="C336" s="1300"/>
      <c r="D336" s="1243"/>
      <c r="E336" s="1379"/>
      <c r="F336" s="1197"/>
      <c r="G336" s="1230"/>
      <c r="H336" s="1230"/>
      <c r="I336" s="1300"/>
      <c r="J336" s="1243"/>
      <c r="K336" s="1300"/>
      <c r="L336" s="690"/>
      <c r="M336" s="690"/>
      <c r="N336" s="690"/>
    </row>
    <row r="337" spans="2:14" s="48" customFormat="1" ht="18.75" customHeight="1" x14ac:dyDescent="0.25">
      <c r="B337" s="1378"/>
      <c r="C337" s="1300"/>
      <c r="D337" s="1243"/>
      <c r="E337" s="1379"/>
      <c r="F337" s="1197"/>
      <c r="G337" s="1230"/>
      <c r="H337" s="1230"/>
      <c r="I337" s="1300"/>
      <c r="J337" s="1243"/>
      <c r="K337" s="1300"/>
      <c r="L337" s="690"/>
      <c r="M337" s="690"/>
      <c r="N337" s="690"/>
    </row>
    <row r="338" spans="2:14" s="48" customFormat="1" ht="18.75" customHeight="1" x14ac:dyDescent="0.25">
      <c r="B338" s="1378"/>
      <c r="C338" s="1300"/>
      <c r="D338" s="1243"/>
      <c r="E338" s="1379"/>
      <c r="F338" s="1197"/>
      <c r="G338" s="1230"/>
      <c r="H338" s="1230"/>
      <c r="I338" s="1300"/>
      <c r="J338" s="1243"/>
      <c r="K338" s="1300"/>
      <c r="L338" s="690"/>
      <c r="M338" s="690"/>
      <c r="N338" s="690"/>
    </row>
    <row r="339" spans="2:14" s="48" customFormat="1" ht="15.75" customHeight="1" x14ac:dyDescent="0.25">
      <c r="B339" s="1378"/>
      <c r="C339" s="1300"/>
      <c r="D339" s="1243"/>
      <c r="E339" s="1379"/>
      <c r="F339" s="1197"/>
      <c r="G339" s="1230"/>
      <c r="H339" s="1230"/>
      <c r="I339" s="1300"/>
      <c r="J339" s="1243"/>
      <c r="K339" s="1300"/>
      <c r="L339" s="690"/>
      <c r="M339" s="690"/>
      <c r="N339" s="690"/>
    </row>
    <row r="340" spans="2:14" s="48" customFormat="1" ht="15" customHeight="1" x14ac:dyDescent="0.25">
      <c r="B340" s="1378"/>
      <c r="C340" s="1300"/>
      <c r="D340" s="1243"/>
      <c r="E340" s="1379"/>
      <c r="F340" s="1197"/>
      <c r="G340" s="1230"/>
      <c r="H340" s="1230"/>
      <c r="I340" s="1300"/>
      <c r="J340" s="1243"/>
      <c r="K340" s="1300"/>
      <c r="L340" s="690"/>
      <c r="M340" s="690"/>
      <c r="N340" s="690"/>
    </row>
    <row r="341" spans="2:14" s="48" customFormat="1" ht="16.5" customHeight="1" x14ac:dyDescent="0.25">
      <c r="B341" s="1378"/>
      <c r="C341" s="1300"/>
      <c r="D341" s="1243"/>
      <c r="E341" s="1379"/>
      <c r="F341" s="1197"/>
      <c r="G341" s="1230"/>
      <c r="H341" s="1230"/>
      <c r="I341" s="1300"/>
      <c r="J341" s="1243"/>
      <c r="K341" s="1300"/>
      <c r="L341" s="690"/>
      <c r="M341" s="690"/>
      <c r="N341" s="690"/>
    </row>
    <row r="342" spans="2:14" s="48" customFormat="1" ht="17.25" customHeight="1" x14ac:dyDescent="0.25">
      <c r="B342" s="1378"/>
      <c r="C342" s="1300"/>
      <c r="D342" s="1243"/>
      <c r="E342" s="1379"/>
      <c r="F342" s="1197"/>
      <c r="G342" s="1230"/>
      <c r="H342" s="1230"/>
      <c r="I342" s="1300"/>
      <c r="J342" s="1243"/>
      <c r="K342" s="1300"/>
      <c r="L342" s="690"/>
      <c r="M342" s="690"/>
      <c r="N342" s="690"/>
    </row>
    <row r="343" spans="2:14" s="48" customFormat="1" ht="14.25" customHeight="1" x14ac:dyDescent="0.25">
      <c r="B343" s="1378"/>
      <c r="C343" s="1300"/>
      <c r="D343" s="1243"/>
      <c r="E343" s="1379"/>
      <c r="F343" s="1197"/>
      <c r="G343" s="1230"/>
      <c r="H343" s="1230"/>
      <c r="I343" s="1300"/>
      <c r="J343" s="1243"/>
      <c r="K343" s="1300"/>
      <c r="L343" s="690"/>
      <c r="M343" s="690"/>
      <c r="N343" s="690"/>
    </row>
    <row r="344" spans="2:14" s="48" customFormat="1" ht="15" customHeight="1" x14ac:dyDescent="0.25">
      <c r="B344" s="1378"/>
      <c r="C344" s="1300"/>
      <c r="D344" s="1243"/>
      <c r="E344" s="1379"/>
      <c r="F344" s="1197"/>
      <c r="G344" s="1230"/>
      <c r="H344" s="1230"/>
      <c r="I344" s="1300"/>
      <c r="J344" s="1243"/>
      <c r="K344" s="1300"/>
      <c r="L344" s="690"/>
      <c r="M344" s="690"/>
      <c r="N344" s="690"/>
    </row>
    <row r="345" spans="2:14" s="48" customFormat="1" ht="14.25" customHeight="1" x14ac:dyDescent="0.25">
      <c r="B345" s="1378"/>
      <c r="C345" s="1300"/>
      <c r="D345" s="1243"/>
      <c r="E345" s="1379"/>
      <c r="F345" s="1197"/>
      <c r="G345" s="1230"/>
      <c r="H345" s="1230"/>
      <c r="I345" s="1300"/>
      <c r="J345" s="1243"/>
      <c r="K345" s="1300"/>
      <c r="L345" s="690"/>
      <c r="M345" s="690"/>
      <c r="N345" s="690"/>
    </row>
    <row r="346" spans="2:14" s="48" customFormat="1" ht="15.75" customHeight="1" x14ac:dyDescent="0.25">
      <c r="B346" s="1378"/>
      <c r="C346" s="1300"/>
      <c r="D346" s="1243"/>
      <c r="E346" s="1379"/>
      <c r="F346" s="1197"/>
      <c r="G346" s="1230"/>
      <c r="H346" s="1230"/>
      <c r="I346" s="1300"/>
      <c r="J346" s="1243"/>
      <c r="K346" s="1300"/>
      <c r="L346" s="690"/>
      <c r="M346" s="690"/>
      <c r="N346" s="690"/>
    </row>
    <row r="347" spans="2:14" s="48" customFormat="1" ht="15.75" customHeight="1" x14ac:dyDescent="0.25">
      <c r="B347" s="1378"/>
      <c r="C347" s="1300"/>
      <c r="D347" s="1243"/>
      <c r="E347" s="1379"/>
      <c r="F347" s="1197"/>
      <c r="G347" s="1230"/>
      <c r="H347" s="1230"/>
      <c r="I347" s="1300"/>
      <c r="J347" s="1243"/>
      <c r="K347" s="1300"/>
      <c r="L347" s="690"/>
      <c r="M347" s="690"/>
      <c r="N347" s="690"/>
    </row>
    <row r="348" spans="2:14" s="48" customFormat="1" ht="15.75" customHeight="1" x14ac:dyDescent="0.25">
      <c r="B348" s="1378"/>
      <c r="C348" s="1300"/>
      <c r="D348" s="1243"/>
      <c r="E348" s="1379"/>
      <c r="F348" s="1197"/>
      <c r="G348" s="1230"/>
      <c r="H348" s="1230"/>
      <c r="I348" s="1300"/>
      <c r="J348" s="1243"/>
      <c r="K348" s="1300"/>
      <c r="L348" s="690"/>
      <c r="M348" s="690"/>
      <c r="N348" s="690"/>
    </row>
    <row r="349" spans="2:14" s="48" customFormat="1" ht="15.75" customHeight="1" x14ac:dyDescent="0.25">
      <c r="B349" s="1378"/>
      <c r="C349" s="1300"/>
      <c r="D349" s="1243"/>
      <c r="E349" s="1379"/>
      <c r="F349" s="1197"/>
      <c r="G349" s="1230"/>
      <c r="H349" s="1230"/>
      <c r="I349" s="1300"/>
      <c r="J349" s="1243"/>
      <c r="K349" s="1300"/>
      <c r="L349" s="690"/>
      <c r="M349" s="690"/>
      <c r="N349" s="690"/>
    </row>
    <row r="350" spans="2:14" s="48" customFormat="1" ht="15.75" customHeight="1" x14ac:dyDescent="0.25">
      <c r="B350" s="1378"/>
      <c r="C350" s="1300"/>
      <c r="D350" s="1243"/>
      <c r="E350" s="1379"/>
      <c r="F350" s="1197"/>
      <c r="G350" s="1230"/>
      <c r="H350" s="1230"/>
      <c r="I350" s="1300"/>
      <c r="J350" s="1243"/>
      <c r="K350" s="1300"/>
      <c r="L350" s="690"/>
      <c r="M350" s="690"/>
      <c r="N350" s="690"/>
    </row>
    <row r="351" spans="2:14" s="48" customFormat="1" ht="15.75" customHeight="1" x14ac:dyDescent="0.25">
      <c r="B351" s="1378"/>
      <c r="C351" s="1300"/>
      <c r="D351" s="1243"/>
      <c r="E351" s="1379"/>
      <c r="F351" s="1197"/>
      <c r="G351" s="1230"/>
      <c r="H351" s="1230"/>
      <c r="I351" s="1300"/>
      <c r="J351" s="1243"/>
      <c r="K351" s="1300"/>
      <c r="L351" s="690"/>
      <c r="M351" s="690"/>
      <c r="N351" s="690"/>
    </row>
    <row r="352" spans="2:14" s="48" customFormat="1" ht="15.75" customHeight="1" x14ac:dyDescent="0.25">
      <c r="B352" s="1378"/>
      <c r="C352" s="1300"/>
      <c r="D352" s="1243"/>
      <c r="E352" s="1379"/>
      <c r="F352" s="1197"/>
      <c r="G352" s="1230"/>
      <c r="H352" s="1230"/>
      <c r="I352" s="1300"/>
      <c r="J352" s="1243"/>
      <c r="K352" s="1300"/>
      <c r="L352" s="690"/>
      <c r="M352" s="690"/>
      <c r="N352" s="690"/>
    </row>
    <row r="353" spans="2:14" s="48" customFormat="1" ht="15.75" customHeight="1" x14ac:dyDescent="0.25">
      <c r="B353" s="1378"/>
      <c r="C353" s="1300"/>
      <c r="D353" s="1243"/>
      <c r="E353" s="1379"/>
      <c r="F353" s="1197"/>
      <c r="G353" s="1230"/>
      <c r="H353" s="1230"/>
      <c r="I353" s="1300"/>
      <c r="J353" s="1243"/>
      <c r="K353" s="1300"/>
      <c r="L353" s="690"/>
      <c r="M353" s="690"/>
      <c r="N353" s="690"/>
    </row>
    <row r="354" spans="2:14" s="48" customFormat="1" ht="15.75" customHeight="1" x14ac:dyDescent="0.25">
      <c r="B354" s="1378"/>
      <c r="C354" s="1300"/>
      <c r="D354" s="1243"/>
      <c r="E354" s="1379"/>
      <c r="F354" s="1197"/>
      <c r="G354" s="1230"/>
      <c r="H354" s="1230"/>
      <c r="I354" s="1300"/>
      <c r="J354" s="1243"/>
      <c r="K354" s="1300"/>
      <c r="L354" s="690"/>
      <c r="M354" s="690"/>
      <c r="N354" s="690"/>
    </row>
    <row r="355" spans="2:14" s="48" customFormat="1" ht="15.75" customHeight="1" x14ac:dyDescent="0.25">
      <c r="B355" s="1378"/>
      <c r="C355" s="1300"/>
      <c r="D355" s="1243"/>
      <c r="E355" s="1379"/>
      <c r="F355" s="1197"/>
      <c r="G355" s="1230"/>
      <c r="H355" s="1230"/>
      <c r="I355" s="1300"/>
      <c r="J355" s="1243"/>
      <c r="K355" s="1300"/>
      <c r="L355" s="690"/>
      <c r="M355" s="690"/>
      <c r="N355" s="690"/>
    </row>
    <row r="356" spans="2:14" s="48" customFormat="1" ht="15.75" customHeight="1" x14ac:dyDescent="0.25">
      <c r="B356" s="1378"/>
      <c r="C356" s="1300"/>
      <c r="D356" s="1243"/>
      <c r="E356" s="1379"/>
      <c r="F356" s="1197"/>
      <c r="G356" s="1230"/>
      <c r="H356" s="1230"/>
      <c r="I356" s="1300"/>
      <c r="J356" s="1243"/>
      <c r="K356" s="1300"/>
      <c r="L356" s="690"/>
      <c r="M356" s="690"/>
      <c r="N356" s="690"/>
    </row>
    <row r="357" spans="2:14" s="48" customFormat="1" ht="15.75" customHeight="1" x14ac:dyDescent="0.25">
      <c r="B357" s="1378"/>
      <c r="C357" s="1300"/>
      <c r="D357" s="1243"/>
      <c r="E357" s="1379"/>
      <c r="F357" s="1197"/>
      <c r="G357" s="1230"/>
      <c r="H357" s="1230"/>
      <c r="I357" s="1300"/>
      <c r="J357" s="1243"/>
      <c r="K357" s="1300"/>
      <c r="L357" s="690"/>
      <c r="M357" s="690"/>
      <c r="N357" s="690"/>
    </row>
    <row r="358" spans="2:14" s="48" customFormat="1" ht="15.75" customHeight="1" x14ac:dyDescent="0.25">
      <c r="B358" s="1378"/>
      <c r="C358" s="1300"/>
      <c r="D358" s="1243"/>
      <c r="E358" s="1379"/>
      <c r="F358" s="1197"/>
      <c r="G358" s="1230"/>
      <c r="H358" s="1230"/>
      <c r="I358" s="1300"/>
      <c r="J358" s="1243"/>
      <c r="K358" s="1300"/>
      <c r="L358" s="690"/>
      <c r="M358" s="690"/>
      <c r="N358" s="690"/>
    </row>
    <row r="359" spans="2:14" s="48" customFormat="1" ht="15.75" customHeight="1" x14ac:dyDescent="0.25">
      <c r="B359" s="1378"/>
      <c r="C359" s="1300"/>
      <c r="D359" s="1243"/>
      <c r="E359" s="1379"/>
      <c r="F359" s="1197"/>
      <c r="G359" s="1230"/>
      <c r="H359" s="1230"/>
      <c r="I359" s="1300"/>
      <c r="J359" s="1243"/>
      <c r="K359" s="1300"/>
      <c r="L359" s="690"/>
      <c r="M359" s="690"/>
      <c r="N359" s="690"/>
    </row>
    <row r="360" spans="2:14" s="48" customFormat="1" ht="15.75" customHeight="1" x14ac:dyDescent="0.25">
      <c r="B360" s="1378"/>
      <c r="C360" s="1300"/>
      <c r="D360" s="1243"/>
      <c r="E360" s="1379"/>
      <c r="F360" s="1197"/>
      <c r="G360" s="1230"/>
      <c r="H360" s="1230"/>
      <c r="I360" s="1300"/>
      <c r="J360" s="1243"/>
      <c r="K360" s="1300"/>
      <c r="L360" s="690"/>
      <c r="M360" s="690"/>
      <c r="N360" s="690"/>
    </row>
    <row r="361" spans="2:14" s="48" customFormat="1" ht="15.75" customHeight="1" x14ac:dyDescent="0.25">
      <c r="B361" s="1378"/>
      <c r="C361" s="1300"/>
      <c r="D361" s="1243"/>
      <c r="E361" s="1379"/>
      <c r="F361" s="1197"/>
      <c r="G361" s="1230"/>
      <c r="H361" s="1230"/>
      <c r="I361" s="1300"/>
      <c r="J361" s="1243"/>
      <c r="K361" s="1300"/>
      <c r="L361" s="690"/>
      <c r="M361" s="690"/>
      <c r="N361" s="690"/>
    </row>
    <row r="362" spans="2:14" s="48" customFormat="1" ht="15.75" customHeight="1" x14ac:dyDescent="0.25">
      <c r="B362" s="1378"/>
      <c r="C362" s="1300"/>
      <c r="D362" s="1243"/>
      <c r="E362" s="1379"/>
      <c r="F362" s="1197"/>
      <c r="G362" s="1230"/>
      <c r="H362" s="1230"/>
      <c r="I362" s="1300"/>
      <c r="J362" s="1243"/>
      <c r="K362" s="1300"/>
      <c r="L362" s="690"/>
      <c r="M362" s="690"/>
      <c r="N362" s="690"/>
    </row>
    <row r="363" spans="2:14" s="48" customFormat="1" ht="15.75" customHeight="1" x14ac:dyDescent="0.25">
      <c r="B363" s="1378"/>
      <c r="C363" s="1300"/>
      <c r="D363" s="1243"/>
      <c r="E363" s="1379"/>
      <c r="F363" s="1197"/>
      <c r="G363" s="1230"/>
      <c r="H363" s="1230"/>
      <c r="I363" s="1300"/>
      <c r="J363" s="1243"/>
      <c r="K363" s="1300"/>
      <c r="L363" s="690"/>
      <c r="M363" s="690"/>
      <c r="N363" s="690"/>
    </row>
    <row r="364" spans="2:14" s="48" customFormat="1" ht="15.75" customHeight="1" x14ac:dyDescent="0.25">
      <c r="B364" s="1378"/>
      <c r="C364" s="1300"/>
      <c r="D364" s="1243"/>
      <c r="E364" s="1379"/>
      <c r="F364" s="1197"/>
      <c r="G364" s="1230"/>
      <c r="H364" s="1230"/>
      <c r="I364" s="1300"/>
      <c r="J364" s="1243"/>
      <c r="K364" s="1300"/>
      <c r="L364" s="690"/>
      <c r="M364" s="690"/>
      <c r="N364" s="690"/>
    </row>
    <row r="365" spans="2:14" s="48" customFormat="1" ht="15.75" customHeight="1" x14ac:dyDescent="0.25">
      <c r="B365" s="1378"/>
      <c r="C365" s="1300"/>
      <c r="D365" s="1243"/>
      <c r="E365" s="1379"/>
      <c r="F365" s="1197"/>
      <c r="G365" s="1230"/>
      <c r="H365" s="1230"/>
      <c r="I365" s="1300"/>
      <c r="J365" s="1243"/>
      <c r="K365" s="1300"/>
      <c r="L365" s="690"/>
      <c r="M365" s="690"/>
      <c r="N365" s="690"/>
    </row>
    <row r="366" spans="2:14" s="48" customFormat="1" ht="15.75" customHeight="1" x14ac:dyDescent="0.25">
      <c r="B366" s="1378"/>
      <c r="C366" s="1300"/>
      <c r="D366" s="1243"/>
      <c r="E366" s="1379"/>
      <c r="F366" s="1197"/>
      <c r="G366" s="1230"/>
      <c r="H366" s="1230"/>
      <c r="I366" s="1300"/>
      <c r="J366" s="1243"/>
      <c r="K366" s="1300"/>
      <c r="L366" s="690"/>
      <c r="M366" s="690"/>
      <c r="N366" s="690"/>
    </row>
    <row r="367" spans="2:14" s="48" customFormat="1" ht="15.75" customHeight="1" x14ac:dyDescent="0.25">
      <c r="B367" s="1378"/>
      <c r="C367" s="1300"/>
      <c r="D367" s="1243"/>
      <c r="E367" s="1379"/>
      <c r="F367" s="1197"/>
      <c r="G367" s="1230"/>
      <c r="H367" s="1230"/>
      <c r="I367" s="1300"/>
      <c r="J367" s="1243"/>
      <c r="K367" s="1300"/>
      <c r="L367" s="690"/>
      <c r="M367" s="690"/>
      <c r="N367" s="690"/>
    </row>
    <row r="368" spans="2:14" s="48" customFormat="1" ht="15.75" customHeight="1" x14ac:dyDescent="0.25">
      <c r="B368" s="1378"/>
      <c r="C368" s="1300"/>
      <c r="D368" s="1243"/>
      <c r="E368" s="1379"/>
      <c r="F368" s="1197"/>
      <c r="G368" s="1230"/>
      <c r="H368" s="1230"/>
      <c r="I368" s="1300"/>
      <c r="J368" s="1243"/>
      <c r="K368" s="1300"/>
      <c r="L368" s="690"/>
      <c r="M368" s="690"/>
      <c r="N368" s="690"/>
    </row>
    <row r="369" spans="2:14" s="48" customFormat="1" ht="15.75" customHeight="1" x14ac:dyDescent="0.25">
      <c r="B369" s="1378"/>
      <c r="C369" s="1300"/>
      <c r="D369" s="1243"/>
      <c r="E369" s="1379"/>
      <c r="F369" s="1197"/>
      <c r="G369" s="1230"/>
      <c r="H369" s="1230"/>
      <c r="I369" s="1300"/>
      <c r="J369" s="1243"/>
      <c r="K369" s="1300"/>
      <c r="L369" s="690"/>
      <c r="M369" s="690"/>
      <c r="N369" s="690"/>
    </row>
    <row r="370" spans="2:14" s="48" customFormat="1" ht="15.75" customHeight="1" x14ac:dyDescent="0.25">
      <c r="B370" s="1378"/>
      <c r="C370" s="1300"/>
      <c r="D370" s="1243"/>
      <c r="E370" s="1379"/>
      <c r="F370" s="1197"/>
      <c r="G370" s="1230"/>
      <c r="H370" s="1230"/>
      <c r="I370" s="1300"/>
      <c r="J370" s="1243"/>
      <c r="K370" s="1300"/>
      <c r="L370" s="690"/>
      <c r="M370" s="690"/>
      <c r="N370" s="690"/>
    </row>
    <row r="371" spans="2:14" s="48" customFormat="1" ht="15.75" customHeight="1" x14ac:dyDescent="0.25">
      <c r="B371" s="1378"/>
      <c r="C371" s="1300"/>
      <c r="D371" s="1243"/>
      <c r="E371" s="1379"/>
      <c r="F371" s="1197"/>
      <c r="G371" s="1230"/>
      <c r="H371" s="1230"/>
      <c r="I371" s="1300"/>
      <c r="J371" s="1243"/>
      <c r="K371" s="1300"/>
      <c r="L371" s="690"/>
      <c r="M371" s="690"/>
      <c r="N371" s="690"/>
    </row>
    <row r="372" spans="2:14" s="48" customFormat="1" ht="15.75" customHeight="1" x14ac:dyDescent="0.25">
      <c r="B372" s="1378"/>
      <c r="C372" s="1300"/>
      <c r="D372" s="1243"/>
      <c r="E372" s="1379"/>
      <c r="F372" s="1197"/>
      <c r="G372" s="1230"/>
      <c r="H372" s="1230"/>
      <c r="I372" s="1300"/>
      <c r="J372" s="1243"/>
      <c r="K372" s="1300"/>
      <c r="L372" s="690"/>
      <c r="M372" s="690"/>
      <c r="N372" s="690"/>
    </row>
    <row r="373" spans="2:14" s="48" customFormat="1" ht="15.75" customHeight="1" x14ac:dyDescent="0.25">
      <c r="B373" s="1378"/>
      <c r="C373" s="1300"/>
      <c r="D373" s="1243"/>
      <c r="E373" s="1379"/>
      <c r="F373" s="1197"/>
      <c r="G373" s="1230"/>
      <c r="H373" s="1230"/>
      <c r="I373" s="1300"/>
      <c r="J373" s="1243"/>
      <c r="K373" s="1300"/>
      <c r="L373" s="690"/>
      <c r="M373" s="690"/>
      <c r="N373" s="690"/>
    </row>
    <row r="374" spans="2:14" s="48" customFormat="1" ht="15.75" customHeight="1" x14ac:dyDescent="0.25">
      <c r="B374" s="1378"/>
      <c r="C374" s="1300"/>
      <c r="D374" s="1243"/>
      <c r="E374" s="1379"/>
      <c r="F374" s="1197"/>
      <c r="G374" s="1230"/>
      <c r="H374" s="1230"/>
      <c r="I374" s="1300"/>
      <c r="J374" s="1243"/>
      <c r="K374" s="1300"/>
      <c r="L374" s="690"/>
      <c r="M374" s="690"/>
      <c r="N374" s="690"/>
    </row>
    <row r="375" spans="2:14" s="48" customFormat="1" ht="15.75" customHeight="1" x14ac:dyDescent="0.25">
      <c r="B375" s="1378"/>
      <c r="C375" s="1300"/>
      <c r="D375" s="1243"/>
      <c r="E375" s="1379"/>
      <c r="F375" s="1197"/>
      <c r="G375" s="1230"/>
      <c r="H375" s="1230"/>
      <c r="I375" s="1300"/>
      <c r="J375" s="1243"/>
      <c r="K375" s="1300"/>
      <c r="L375" s="690"/>
      <c r="M375" s="690"/>
      <c r="N375" s="690"/>
    </row>
    <row r="376" spans="2:14" s="48" customFormat="1" ht="15.75" customHeight="1" x14ac:dyDescent="0.25">
      <c r="B376" s="1378"/>
      <c r="C376" s="1300"/>
      <c r="D376" s="1243"/>
      <c r="E376" s="1379"/>
      <c r="F376" s="1197"/>
      <c r="G376" s="1230"/>
      <c r="H376" s="1230"/>
      <c r="I376" s="1300"/>
      <c r="J376" s="1243"/>
      <c r="K376" s="1300"/>
      <c r="L376" s="690"/>
      <c r="M376" s="690"/>
      <c r="N376" s="690"/>
    </row>
    <row r="377" spans="2:14" s="48" customFormat="1" ht="15.75" customHeight="1" x14ac:dyDescent="0.25">
      <c r="B377" s="1378"/>
      <c r="C377" s="1300"/>
      <c r="D377" s="1243"/>
      <c r="E377" s="1379"/>
      <c r="F377" s="1197"/>
      <c r="G377" s="1230"/>
      <c r="H377" s="1230"/>
      <c r="I377" s="1300"/>
      <c r="J377" s="1243"/>
      <c r="K377" s="1300"/>
      <c r="L377" s="690"/>
      <c r="M377" s="690"/>
      <c r="N377" s="690"/>
    </row>
    <row r="378" spans="2:14" s="48" customFormat="1" ht="15.75" customHeight="1" x14ac:dyDescent="0.25">
      <c r="B378" s="1378"/>
      <c r="C378" s="1300"/>
      <c r="D378" s="1243"/>
      <c r="E378" s="1379"/>
      <c r="F378" s="1197"/>
      <c r="G378" s="1230"/>
      <c r="H378" s="1230"/>
      <c r="I378" s="1300"/>
      <c r="J378" s="1243"/>
      <c r="K378" s="1300"/>
      <c r="L378" s="690"/>
      <c r="M378" s="690"/>
      <c r="N378" s="690"/>
    </row>
    <row r="379" spans="2:14" s="48" customFormat="1" ht="15.75" customHeight="1" x14ac:dyDescent="0.25">
      <c r="C379" s="684"/>
      <c r="D379" s="1243"/>
      <c r="E379" s="1379"/>
      <c r="F379" s="1197"/>
      <c r="G379" s="1230"/>
      <c r="H379" s="1230"/>
      <c r="I379" s="1300"/>
      <c r="J379" s="1243"/>
      <c r="K379" s="1300"/>
      <c r="L379" s="690"/>
      <c r="M379" s="690"/>
      <c r="N379" s="690"/>
    </row>
    <row r="380" spans="2:14" s="48" customFormat="1" ht="15.75" customHeight="1" x14ac:dyDescent="0.25">
      <c r="C380" s="684"/>
      <c r="D380" s="1243"/>
      <c r="E380" s="1379"/>
      <c r="F380" s="1197"/>
      <c r="G380" s="1230"/>
      <c r="H380" s="1230"/>
      <c r="I380" s="1300"/>
      <c r="J380" s="1243"/>
      <c r="K380" s="1300"/>
      <c r="L380" s="690"/>
      <c r="M380" s="690"/>
      <c r="N380" s="690"/>
    </row>
    <row r="381" spans="2:14" s="48" customFormat="1" ht="15.75" customHeight="1" x14ac:dyDescent="0.25">
      <c r="C381" s="684"/>
      <c r="D381" s="1243"/>
      <c r="E381" s="1379"/>
      <c r="F381" s="1197"/>
      <c r="G381" s="1230"/>
      <c r="H381" s="1230"/>
      <c r="I381" s="1300"/>
      <c r="J381" s="1243"/>
      <c r="K381" s="1300"/>
      <c r="L381" s="690"/>
      <c r="M381" s="690"/>
      <c r="N381" s="690"/>
    </row>
    <row r="382" spans="2:14" s="48" customFormat="1" ht="15.75" customHeight="1" x14ac:dyDescent="0.25">
      <c r="C382" s="684"/>
      <c r="D382" s="1243"/>
      <c r="E382" s="1379"/>
      <c r="F382" s="1197"/>
      <c r="G382" s="1230"/>
      <c r="H382" s="1230"/>
      <c r="I382" s="1300"/>
      <c r="J382" s="1243"/>
      <c r="K382" s="1300"/>
      <c r="L382" s="690"/>
      <c r="M382" s="690"/>
      <c r="N382" s="690"/>
    </row>
    <row r="383" spans="2:14" s="48" customFormat="1" ht="15.75" customHeight="1" x14ac:dyDescent="0.25">
      <c r="C383" s="684"/>
      <c r="D383" s="791"/>
      <c r="E383" s="1379"/>
      <c r="F383" s="1197"/>
      <c r="G383" s="1230"/>
      <c r="H383" s="1230"/>
      <c r="I383" s="1300"/>
      <c r="J383" s="1243"/>
      <c r="K383" s="1300"/>
      <c r="L383" s="690"/>
      <c r="M383" s="690"/>
      <c r="N383" s="690"/>
    </row>
    <row r="384" spans="2:14" s="48" customFormat="1" ht="15.75" customHeight="1" x14ac:dyDescent="0.25">
      <c r="C384" s="684"/>
      <c r="D384" s="791"/>
      <c r="E384" s="1379"/>
      <c r="F384" s="1197"/>
      <c r="G384" s="1230"/>
      <c r="H384" s="1230"/>
      <c r="I384" s="1300"/>
      <c r="J384" s="1243"/>
      <c r="K384" s="1300"/>
      <c r="L384" s="690"/>
      <c r="M384" s="690"/>
      <c r="N384" s="690"/>
    </row>
    <row r="385" spans="3:14" s="48" customFormat="1" ht="15.75" customHeight="1" x14ac:dyDescent="0.25">
      <c r="C385" s="684"/>
      <c r="D385" s="791"/>
      <c r="E385" s="1379"/>
      <c r="F385" s="1197"/>
      <c r="G385" s="1230"/>
      <c r="H385" s="1230"/>
      <c r="I385" s="1300"/>
      <c r="J385" s="1243"/>
      <c r="K385" s="1300"/>
      <c r="L385" s="690"/>
      <c r="M385" s="690"/>
      <c r="N385" s="690"/>
    </row>
    <row r="386" spans="3:14" s="48" customFormat="1" ht="15.75" customHeight="1" x14ac:dyDescent="0.25">
      <c r="C386" s="684"/>
      <c r="D386" s="791"/>
      <c r="E386" s="1379"/>
      <c r="F386" s="1197"/>
      <c r="G386" s="1230"/>
      <c r="H386" s="1230"/>
      <c r="I386" s="1300"/>
      <c r="J386" s="1243"/>
      <c r="K386" s="1300"/>
      <c r="L386" s="690"/>
      <c r="M386" s="690"/>
      <c r="N386" s="690"/>
    </row>
    <row r="387" spans="3:14" s="48" customFormat="1" ht="15.75" customHeight="1" x14ac:dyDescent="0.25">
      <c r="C387" s="684"/>
      <c r="D387" s="791"/>
      <c r="E387" s="813"/>
      <c r="F387" s="800"/>
      <c r="G387" s="673"/>
      <c r="H387" s="673"/>
      <c r="I387" s="684"/>
      <c r="J387" s="791"/>
      <c r="K387" s="684"/>
      <c r="L387" s="690"/>
      <c r="M387" s="690"/>
      <c r="N387" s="690"/>
    </row>
    <row r="388" spans="3:14" s="48" customFormat="1" ht="15.75" customHeight="1" x14ac:dyDescent="0.25">
      <c r="C388" s="684"/>
      <c r="D388" s="791"/>
      <c r="E388" s="813"/>
      <c r="F388" s="800"/>
      <c r="G388" s="673"/>
      <c r="H388" s="673"/>
      <c r="I388" s="684"/>
      <c r="J388" s="791"/>
      <c r="K388" s="684"/>
      <c r="L388" s="690"/>
      <c r="M388" s="690"/>
      <c r="N388" s="690"/>
    </row>
    <row r="389" spans="3:14" s="48" customFormat="1" ht="15.75" customHeight="1" x14ac:dyDescent="0.25">
      <c r="C389" s="684"/>
      <c r="D389" s="791"/>
      <c r="E389" s="813"/>
      <c r="F389" s="800"/>
      <c r="G389" s="673"/>
      <c r="H389" s="673"/>
      <c r="I389" s="684"/>
      <c r="J389" s="791"/>
      <c r="K389" s="684"/>
      <c r="L389" s="690"/>
      <c r="M389" s="690"/>
      <c r="N389" s="690"/>
    </row>
    <row r="390" spans="3:14" s="48" customFormat="1" ht="15.75" customHeight="1" x14ac:dyDescent="0.25">
      <c r="C390" s="684"/>
      <c r="D390" s="791"/>
      <c r="E390" s="813"/>
      <c r="F390" s="800"/>
      <c r="G390" s="673"/>
      <c r="H390" s="673"/>
      <c r="I390" s="684"/>
      <c r="J390" s="791"/>
      <c r="K390" s="684"/>
      <c r="L390" s="690"/>
      <c r="M390" s="690"/>
      <c r="N390" s="690"/>
    </row>
    <row r="391" spans="3:14" s="48" customFormat="1" ht="40.5" customHeight="1" x14ac:dyDescent="0.25">
      <c r="C391" s="684"/>
      <c r="D391" s="791"/>
      <c r="E391" s="813"/>
      <c r="F391" s="800"/>
      <c r="G391" s="673"/>
      <c r="H391" s="673"/>
      <c r="I391" s="684"/>
      <c r="J391" s="791"/>
      <c r="K391" s="684"/>
      <c r="L391" s="690"/>
      <c r="M391" s="690"/>
      <c r="N391" s="690"/>
    </row>
    <row r="392" spans="3:14" s="48" customFormat="1" ht="40.5" customHeight="1" x14ac:dyDescent="0.25">
      <c r="C392" s="684"/>
      <c r="D392" s="791"/>
      <c r="E392" s="813"/>
      <c r="F392" s="800"/>
      <c r="G392" s="673"/>
      <c r="H392" s="673"/>
      <c r="I392" s="684"/>
      <c r="J392" s="791"/>
      <c r="K392" s="684"/>
      <c r="L392" s="690"/>
      <c r="M392" s="690"/>
      <c r="N392" s="690"/>
    </row>
    <row r="393" spans="3:14" s="48" customFormat="1" ht="40.5" customHeight="1" x14ac:dyDescent="0.25">
      <c r="C393" s="684"/>
      <c r="D393" s="791"/>
      <c r="E393" s="813"/>
      <c r="F393" s="800"/>
      <c r="G393" s="673"/>
      <c r="H393" s="673"/>
      <c r="I393" s="684"/>
      <c r="J393" s="791"/>
      <c r="K393" s="684"/>
      <c r="L393" s="690"/>
      <c r="M393" s="690"/>
      <c r="N393" s="690"/>
    </row>
    <row r="394" spans="3:14" s="48" customFormat="1" ht="40.5" customHeight="1" x14ac:dyDescent="0.25">
      <c r="C394" s="684"/>
      <c r="D394" s="791"/>
      <c r="E394" s="813"/>
      <c r="F394" s="800"/>
      <c r="G394" s="673"/>
      <c r="H394" s="673"/>
      <c r="I394" s="684"/>
      <c r="J394" s="791"/>
      <c r="K394" s="684"/>
      <c r="L394" s="690"/>
      <c r="M394" s="690"/>
      <c r="N394" s="690"/>
    </row>
    <row r="395" spans="3:14" s="48" customFormat="1" x14ac:dyDescent="0.25">
      <c r="D395" s="791"/>
      <c r="E395" s="813"/>
      <c r="F395" s="800"/>
      <c r="G395" s="673"/>
      <c r="H395" s="673"/>
      <c r="I395" s="684"/>
      <c r="J395" s="791"/>
      <c r="K395" s="684"/>
      <c r="L395" s="690"/>
      <c r="M395" s="690"/>
      <c r="N395" s="690"/>
    </row>
    <row r="396" spans="3:14" s="48" customFormat="1" x14ac:dyDescent="0.25">
      <c r="D396" s="791"/>
      <c r="E396" s="813"/>
      <c r="F396" s="800"/>
      <c r="G396" s="673"/>
      <c r="H396" s="673"/>
      <c r="I396" s="684"/>
      <c r="J396" s="791"/>
      <c r="K396" s="684"/>
      <c r="L396" s="690"/>
      <c r="M396" s="690"/>
      <c r="N396" s="690"/>
    </row>
    <row r="397" spans="3:14" s="48" customFormat="1" x14ac:dyDescent="0.25">
      <c r="D397" s="791"/>
      <c r="E397" s="813"/>
      <c r="F397" s="800"/>
      <c r="G397" s="673"/>
      <c r="H397" s="673"/>
      <c r="I397" s="684"/>
      <c r="J397" s="791"/>
      <c r="K397" s="684"/>
      <c r="L397" s="690"/>
      <c r="M397" s="690"/>
      <c r="N397" s="690"/>
    </row>
    <row r="398" spans="3:14" s="48" customFormat="1" x14ac:dyDescent="0.25">
      <c r="D398" s="791"/>
      <c r="E398" s="813"/>
      <c r="F398" s="800"/>
      <c r="G398" s="673"/>
      <c r="H398" s="673"/>
      <c r="I398" s="684"/>
      <c r="J398" s="791"/>
      <c r="K398" s="684"/>
      <c r="L398" s="690"/>
      <c r="M398" s="690"/>
      <c r="N398" s="690"/>
    </row>
    <row r="399" spans="3:14" s="48" customFormat="1" x14ac:dyDescent="0.25">
      <c r="D399" s="1300"/>
      <c r="E399" s="813"/>
      <c r="F399" s="800"/>
      <c r="G399" s="673"/>
      <c r="H399" s="673"/>
      <c r="I399" s="684"/>
      <c r="J399" s="791"/>
      <c r="K399" s="684"/>
      <c r="L399" s="690"/>
      <c r="M399" s="690"/>
      <c r="N399" s="690"/>
    </row>
    <row r="400" spans="3:14" s="48" customFormat="1" x14ac:dyDescent="0.25">
      <c r="D400" s="1300"/>
      <c r="E400" s="813"/>
      <c r="F400" s="800"/>
      <c r="G400" s="673"/>
      <c r="H400" s="673"/>
      <c r="I400" s="684"/>
      <c r="J400" s="791"/>
      <c r="K400" s="684"/>
      <c r="L400" s="690"/>
      <c r="M400" s="690"/>
      <c r="N400" s="690"/>
    </row>
    <row r="401" spans="4:14" s="48" customFormat="1" x14ac:dyDescent="0.25">
      <c r="D401" s="1300"/>
      <c r="E401" s="813"/>
      <c r="F401" s="800"/>
      <c r="G401" s="673"/>
      <c r="H401" s="673"/>
      <c r="I401" s="684"/>
      <c r="J401" s="791"/>
      <c r="K401" s="684"/>
      <c r="L401" s="690"/>
      <c r="M401" s="690"/>
      <c r="N401" s="690"/>
    </row>
    <row r="402" spans="4:14" s="48" customFormat="1" x14ac:dyDescent="0.25">
      <c r="D402" s="1300"/>
      <c r="E402" s="813"/>
      <c r="F402" s="800"/>
      <c r="G402" s="673"/>
      <c r="H402" s="673"/>
      <c r="I402" s="684"/>
      <c r="J402" s="791"/>
      <c r="K402" s="684"/>
      <c r="L402" s="690"/>
      <c r="M402" s="690"/>
      <c r="N402" s="690"/>
    </row>
    <row r="403" spans="4:14" s="48" customFormat="1" x14ac:dyDescent="0.25">
      <c r="D403" s="1300"/>
      <c r="E403" s="1230"/>
      <c r="F403" s="1197"/>
      <c r="G403" s="1230"/>
      <c r="H403" s="1230"/>
      <c r="I403" s="1230"/>
      <c r="J403" s="1230"/>
      <c r="K403" s="1230"/>
      <c r="L403" s="690"/>
      <c r="M403" s="690"/>
      <c r="N403" s="690"/>
    </row>
    <row r="404" spans="4:14" x14ac:dyDescent="0.25">
      <c r="D404" s="1300"/>
      <c r="E404" s="1230"/>
      <c r="F404" s="1197"/>
      <c r="G404" s="1230"/>
      <c r="H404" s="1230"/>
      <c r="I404" s="1230"/>
      <c r="J404" s="1230"/>
      <c r="K404" s="1230"/>
      <c r="L404" s="690"/>
      <c r="M404" s="690"/>
      <c r="N404" s="690"/>
    </row>
    <row r="405" spans="4:14" x14ac:dyDescent="0.25">
      <c r="D405" s="1300"/>
      <c r="E405" s="1230"/>
      <c r="F405" s="1197"/>
      <c r="G405" s="1230"/>
      <c r="H405" s="1230"/>
      <c r="I405" s="1230"/>
      <c r="J405" s="1230"/>
      <c r="K405" s="1230"/>
      <c r="L405" s="690"/>
      <c r="M405" s="690"/>
      <c r="N405" s="690"/>
    </row>
    <row r="406" spans="4:14" x14ac:dyDescent="0.25">
      <c r="D406" s="1300"/>
      <c r="E406" s="1230"/>
      <c r="F406" s="1197"/>
      <c r="G406" s="1230"/>
      <c r="H406" s="1230"/>
      <c r="I406" s="1230"/>
      <c r="J406" s="1230"/>
      <c r="K406" s="1230"/>
      <c r="L406" s="690"/>
      <c r="M406" s="690"/>
      <c r="N406" s="690"/>
    </row>
    <row r="407" spans="4:14" x14ac:dyDescent="0.25">
      <c r="E407" s="1230"/>
      <c r="F407" s="1197"/>
      <c r="G407" s="1230"/>
      <c r="H407" s="1230"/>
      <c r="I407" s="1230"/>
      <c r="J407" s="1230"/>
      <c r="K407" s="1230"/>
      <c r="L407" s="690"/>
      <c r="M407" s="690"/>
      <c r="N407" s="690"/>
    </row>
    <row r="408" spans="4:14" x14ac:dyDescent="0.25">
      <c r="D408" s="37"/>
      <c r="E408" s="1230"/>
      <c r="F408" s="1197"/>
      <c r="G408" s="1230"/>
      <c r="H408" s="1230"/>
      <c r="I408" s="1230"/>
      <c r="J408" s="1230"/>
      <c r="K408" s="1230"/>
      <c r="L408" s="690"/>
      <c r="M408" s="690"/>
      <c r="N408" s="690"/>
    </row>
    <row r="409" spans="4:14" x14ac:dyDescent="0.25">
      <c r="D409" s="37"/>
      <c r="E409" s="1230"/>
      <c r="F409" s="1197"/>
      <c r="G409" s="1230"/>
      <c r="H409" s="1230"/>
      <c r="I409" s="1230"/>
      <c r="J409" s="1230"/>
      <c r="K409" s="1230"/>
      <c r="L409" s="690"/>
      <c r="M409" s="690"/>
      <c r="N409" s="690"/>
    </row>
    <row r="410" spans="4:14" x14ac:dyDescent="0.25">
      <c r="D410" s="37"/>
      <c r="E410" s="1230"/>
      <c r="F410" s="1197"/>
      <c r="G410" s="1230"/>
      <c r="H410" s="1230"/>
      <c r="I410" s="1230"/>
      <c r="J410" s="1230"/>
      <c r="K410" s="1230"/>
      <c r="L410" s="690"/>
      <c r="M410" s="690"/>
      <c r="N410" s="690"/>
    </row>
    <row r="411" spans="4:14" x14ac:dyDescent="0.25">
      <c r="D411" s="37"/>
      <c r="F411" s="48"/>
      <c r="G411" s="48"/>
      <c r="L411" s="48"/>
    </row>
    <row r="412" spans="4:14" x14ac:dyDescent="0.25">
      <c r="D412" s="37"/>
      <c r="E412" s="37"/>
      <c r="F412" s="37"/>
      <c r="G412" s="37"/>
      <c r="H412" s="37"/>
      <c r="I412" s="37"/>
      <c r="J412" s="37"/>
      <c r="K412" s="37"/>
      <c r="L412" s="37"/>
      <c r="M412" s="51"/>
      <c r="N412" s="51"/>
    </row>
    <row r="413" spans="4:14" x14ac:dyDescent="0.25">
      <c r="D413" s="37"/>
      <c r="E413" s="37"/>
      <c r="F413" s="37"/>
      <c r="G413" s="37"/>
      <c r="H413" s="37"/>
      <c r="I413" s="37"/>
      <c r="J413" s="37"/>
      <c r="K413" s="37"/>
      <c r="L413" s="37"/>
      <c r="M413" s="51"/>
      <c r="N413" s="51"/>
    </row>
    <row r="414" spans="4:14" x14ac:dyDescent="0.25">
      <c r="E414" s="37"/>
      <c r="F414" s="37"/>
      <c r="G414" s="37"/>
      <c r="H414" s="37"/>
      <c r="I414" s="37"/>
      <c r="J414" s="37"/>
      <c r="K414" s="37"/>
      <c r="L414" s="37"/>
    </row>
    <row r="415" spans="4:14" x14ac:dyDescent="0.25">
      <c r="E415" s="37"/>
      <c r="F415" s="799"/>
      <c r="G415" s="309"/>
      <c r="H415" s="37"/>
      <c r="I415" s="37"/>
      <c r="J415" s="37"/>
      <c r="K415" s="37"/>
      <c r="L415" s="51"/>
    </row>
    <row r="416" spans="4:14" x14ac:dyDescent="0.25">
      <c r="E416" s="37"/>
      <c r="F416" s="814"/>
      <c r="G416" s="309"/>
      <c r="H416" s="37"/>
      <c r="I416" s="37"/>
      <c r="J416" s="37"/>
      <c r="K416" s="37"/>
      <c r="L416" s="51"/>
    </row>
    <row r="417" spans="5:12" x14ac:dyDescent="0.25">
      <c r="E417" s="37"/>
      <c r="F417" s="814"/>
      <c r="G417" s="309"/>
      <c r="H417" s="37"/>
      <c r="I417" s="37"/>
      <c r="J417" s="37"/>
      <c r="K417" s="37"/>
      <c r="L417" s="51"/>
    </row>
  </sheetData>
  <autoFilter ref="C14:N66" xr:uid="{00000000-0009-0000-0000-000011000000}"/>
  <mergeCells count="720">
    <mergeCell ref="L26:L27"/>
    <mergeCell ref="M26:M27"/>
    <mergeCell ref="N26:N27"/>
    <mergeCell ref="L24:L25"/>
    <mergeCell ref="C44:D44"/>
    <mergeCell ref="B42:F42"/>
    <mergeCell ref="M22:M23"/>
    <mergeCell ref="N22:N23"/>
    <mergeCell ref="L20:L21"/>
    <mergeCell ref="M20:M21"/>
    <mergeCell ref="N20:N21"/>
    <mergeCell ref="M24:M25"/>
    <mergeCell ref="N24:N25"/>
    <mergeCell ref="L22:L23"/>
    <mergeCell ref="F24:F25"/>
    <mergeCell ref="F22:F23"/>
    <mergeCell ref="B31:B33"/>
    <mergeCell ref="B35:B38"/>
    <mergeCell ref="E31:E33"/>
    <mergeCell ref="D31:D33"/>
    <mergeCell ref="C31:C33"/>
    <mergeCell ref="D24:D25"/>
    <mergeCell ref="E24:E25"/>
    <mergeCell ref="H18:H19"/>
    <mergeCell ref="D18:D19"/>
    <mergeCell ref="E18:E19"/>
    <mergeCell ref="F18:F19"/>
    <mergeCell ref="B26:B27"/>
    <mergeCell ref="C26:C27"/>
    <mergeCell ref="D26:D27"/>
    <mergeCell ref="E26:E27"/>
    <mergeCell ref="F26:F27"/>
    <mergeCell ref="E22:E23"/>
    <mergeCell ref="D22:D23"/>
    <mergeCell ref="C22:C23"/>
    <mergeCell ref="B22:B23"/>
    <mergeCell ref="B24:B25"/>
    <mergeCell ref="H26:H27"/>
    <mergeCell ref="H24:H25"/>
    <mergeCell ref="H22:H23"/>
    <mergeCell ref="B20:B21"/>
    <mergeCell ref="C20:C21"/>
    <mergeCell ref="D20:D21"/>
    <mergeCell ref="E20:E21"/>
    <mergeCell ref="F20:F21"/>
    <mergeCell ref="H20:H21"/>
    <mergeCell ref="C24:C25"/>
    <mergeCell ref="B8:N8"/>
    <mergeCell ref="B9:N9"/>
    <mergeCell ref="B11:B13"/>
    <mergeCell ref="C11:C13"/>
    <mergeCell ref="D11:D13"/>
    <mergeCell ref="L18:L19"/>
    <mergeCell ref="M18:M19"/>
    <mergeCell ref="E11:E13"/>
    <mergeCell ref="F11:F13"/>
    <mergeCell ref="G11:K11"/>
    <mergeCell ref="N18:N19"/>
    <mergeCell ref="B15:K15"/>
    <mergeCell ref="B18:B19"/>
    <mergeCell ref="C18:C19"/>
    <mergeCell ref="L11:N11"/>
    <mergeCell ref="G12:G13"/>
    <mergeCell ref="L12:L13"/>
    <mergeCell ref="M12:M13"/>
    <mergeCell ref="N12:N13"/>
    <mergeCell ref="H12:H13"/>
    <mergeCell ref="I12:K12"/>
    <mergeCell ref="L16:L17"/>
    <mergeCell ref="M16:M17"/>
    <mergeCell ref="N16:N17"/>
    <mergeCell ref="C45:D45"/>
    <mergeCell ref="G71:G74"/>
    <mergeCell ref="D71:D74"/>
    <mergeCell ref="E71:E74"/>
    <mergeCell ref="F71:F74"/>
    <mergeCell ref="B75:B78"/>
    <mergeCell ref="C75:C78"/>
    <mergeCell ref="C35:C38"/>
    <mergeCell ref="D35:D38"/>
    <mergeCell ref="B71:B74"/>
    <mergeCell ref="C71:C74"/>
    <mergeCell ref="D75:D78"/>
    <mergeCell ref="B83:B86"/>
    <mergeCell ref="C83:C86"/>
    <mergeCell ref="E75:E78"/>
    <mergeCell ref="F75:F78"/>
    <mergeCell ref="B79:B82"/>
    <mergeCell ref="C79:C82"/>
    <mergeCell ref="D83:D86"/>
    <mergeCell ref="K75:K78"/>
    <mergeCell ref="H71:H74"/>
    <mergeCell ref="I71:I74"/>
    <mergeCell ref="J71:J74"/>
    <mergeCell ref="K71:K74"/>
    <mergeCell ref="G79:G82"/>
    <mergeCell ref="G75:G78"/>
    <mergeCell ref="H75:H78"/>
    <mergeCell ref="I75:I78"/>
    <mergeCell ref="J75:J78"/>
    <mergeCell ref="J87:J90"/>
    <mergeCell ref="K87:K90"/>
    <mergeCell ref="D87:D90"/>
    <mergeCell ref="E91:E94"/>
    <mergeCell ref="F91:F94"/>
    <mergeCell ref="K95:K98"/>
    <mergeCell ref="E87:E90"/>
    <mergeCell ref="F87:F90"/>
    <mergeCell ref="D79:D82"/>
    <mergeCell ref="E83:E86"/>
    <mergeCell ref="K83:K86"/>
    <mergeCell ref="H79:H82"/>
    <mergeCell ref="I79:I82"/>
    <mergeCell ref="J79:J82"/>
    <mergeCell ref="K79:K82"/>
    <mergeCell ref="G87:G90"/>
    <mergeCell ref="G83:G86"/>
    <mergeCell ref="H83:H86"/>
    <mergeCell ref="I83:I86"/>
    <mergeCell ref="J83:J86"/>
    <mergeCell ref="F83:F86"/>
    <mergeCell ref="E79:E82"/>
    <mergeCell ref="F79:F82"/>
    <mergeCell ref="K99:K102"/>
    <mergeCell ref="G95:G98"/>
    <mergeCell ref="B87:B90"/>
    <mergeCell ref="C87:C90"/>
    <mergeCell ref="D91:D94"/>
    <mergeCell ref="E95:E98"/>
    <mergeCell ref="J99:J102"/>
    <mergeCell ref="H95:H98"/>
    <mergeCell ref="I95:I98"/>
    <mergeCell ref="J95:J98"/>
    <mergeCell ref="B95:B98"/>
    <mergeCell ref="F95:F98"/>
    <mergeCell ref="G91:G94"/>
    <mergeCell ref="H91:H94"/>
    <mergeCell ref="I91:I94"/>
    <mergeCell ref="B91:B94"/>
    <mergeCell ref="C91:C94"/>
    <mergeCell ref="D95:D98"/>
    <mergeCell ref="B99:B102"/>
    <mergeCell ref="C95:C98"/>
    <mergeCell ref="J91:J94"/>
    <mergeCell ref="K91:K94"/>
    <mergeCell ref="H87:H90"/>
    <mergeCell ref="I87:I90"/>
    <mergeCell ref="D111:D114"/>
    <mergeCell ref="J107:J110"/>
    <mergeCell ref="C99:C102"/>
    <mergeCell ref="D103:D106"/>
    <mergeCell ref="E107:E110"/>
    <mergeCell ref="F107:F110"/>
    <mergeCell ref="G107:G110"/>
    <mergeCell ref="D99:D102"/>
    <mergeCell ref="E103:E106"/>
    <mergeCell ref="F103:F106"/>
    <mergeCell ref="G103:G106"/>
    <mergeCell ref="E99:E102"/>
    <mergeCell ref="F99:F102"/>
    <mergeCell ref="G99:G102"/>
    <mergeCell ref="H99:H102"/>
    <mergeCell ref="I99:I102"/>
    <mergeCell ref="I107:I110"/>
    <mergeCell ref="J119:J122"/>
    <mergeCell ref="K119:K122"/>
    <mergeCell ref="B103:B106"/>
    <mergeCell ref="C103:C106"/>
    <mergeCell ref="D107:D110"/>
    <mergeCell ref="E111:E114"/>
    <mergeCell ref="F111:F114"/>
    <mergeCell ref="G111:G114"/>
    <mergeCell ref="K115:K118"/>
    <mergeCell ref="H111:H114"/>
    <mergeCell ref="J103:J106"/>
    <mergeCell ref="K103:K106"/>
    <mergeCell ref="H103:H106"/>
    <mergeCell ref="I103:I106"/>
    <mergeCell ref="G115:G118"/>
    <mergeCell ref="H115:H118"/>
    <mergeCell ref="I115:I118"/>
    <mergeCell ref="J115:J118"/>
    <mergeCell ref="F115:F118"/>
    <mergeCell ref="I111:I114"/>
    <mergeCell ref="J111:J114"/>
    <mergeCell ref="K111:K114"/>
    <mergeCell ref="B107:B110"/>
    <mergeCell ref="C107:C110"/>
    <mergeCell ref="G123:G126"/>
    <mergeCell ref="H123:H126"/>
    <mergeCell ref="I123:I126"/>
    <mergeCell ref="J123:J126"/>
    <mergeCell ref="G119:G122"/>
    <mergeCell ref="B123:B126"/>
    <mergeCell ref="C123:C126"/>
    <mergeCell ref="D127:D130"/>
    <mergeCell ref="K107:K110"/>
    <mergeCell ref="H107:H110"/>
    <mergeCell ref="B115:B118"/>
    <mergeCell ref="C115:C118"/>
    <mergeCell ref="D119:D122"/>
    <mergeCell ref="E123:E126"/>
    <mergeCell ref="F123:F126"/>
    <mergeCell ref="B111:B114"/>
    <mergeCell ref="C111:C114"/>
    <mergeCell ref="D115:D118"/>
    <mergeCell ref="E119:E122"/>
    <mergeCell ref="F119:F122"/>
    <mergeCell ref="E115:E118"/>
    <mergeCell ref="K123:K126"/>
    <mergeCell ref="H119:H122"/>
    <mergeCell ref="I119:I122"/>
    <mergeCell ref="E131:E134"/>
    <mergeCell ref="F131:F134"/>
    <mergeCell ref="B119:B122"/>
    <mergeCell ref="C119:C122"/>
    <mergeCell ref="D123:D126"/>
    <mergeCell ref="E127:E130"/>
    <mergeCell ref="F127:F130"/>
    <mergeCell ref="B127:B130"/>
    <mergeCell ref="C127:C130"/>
    <mergeCell ref="D131:D134"/>
    <mergeCell ref="B131:B134"/>
    <mergeCell ref="C131:C134"/>
    <mergeCell ref="K131:K134"/>
    <mergeCell ref="H127:H130"/>
    <mergeCell ref="I127:I130"/>
    <mergeCell ref="J127:J130"/>
    <mergeCell ref="K127:K130"/>
    <mergeCell ref="G135:G138"/>
    <mergeCell ref="G131:G134"/>
    <mergeCell ref="H131:H134"/>
    <mergeCell ref="I131:I134"/>
    <mergeCell ref="J131:J134"/>
    <mergeCell ref="H135:H138"/>
    <mergeCell ref="I135:I138"/>
    <mergeCell ref="J135:J138"/>
    <mergeCell ref="K135:K138"/>
    <mergeCell ref="G127:G130"/>
    <mergeCell ref="D135:D138"/>
    <mergeCell ref="E139:E142"/>
    <mergeCell ref="F139:F142"/>
    <mergeCell ref="B135:B138"/>
    <mergeCell ref="C135:C138"/>
    <mergeCell ref="D139:D142"/>
    <mergeCell ref="E143:E146"/>
    <mergeCell ref="F143:F146"/>
    <mergeCell ref="B147:B150"/>
    <mergeCell ref="C147:C150"/>
    <mergeCell ref="B143:B146"/>
    <mergeCell ref="C143:C146"/>
    <mergeCell ref="E135:E138"/>
    <mergeCell ref="F135:F138"/>
    <mergeCell ref="H143:H146"/>
    <mergeCell ref="I143:I146"/>
    <mergeCell ref="J143:J146"/>
    <mergeCell ref="K143:K146"/>
    <mergeCell ref="B139:B142"/>
    <mergeCell ref="C139:C142"/>
    <mergeCell ref="D143:D146"/>
    <mergeCell ref="G143:G146"/>
    <mergeCell ref="G139:G142"/>
    <mergeCell ref="H139:H142"/>
    <mergeCell ref="I139:I142"/>
    <mergeCell ref="J139:J142"/>
    <mergeCell ref="K139:K142"/>
    <mergeCell ref="G147:G150"/>
    <mergeCell ref="H147:H150"/>
    <mergeCell ref="I147:I150"/>
    <mergeCell ref="J147:J150"/>
    <mergeCell ref="K147:K150"/>
    <mergeCell ref="D151:D154"/>
    <mergeCell ref="E147:E150"/>
    <mergeCell ref="F147:F150"/>
    <mergeCell ref="D147:D150"/>
    <mergeCell ref="E151:E154"/>
    <mergeCell ref="F151:F154"/>
    <mergeCell ref="E155:E158"/>
    <mergeCell ref="F155:F158"/>
    <mergeCell ref="G171:G174"/>
    <mergeCell ref="G155:G158"/>
    <mergeCell ref="F163:F166"/>
    <mergeCell ref="G163:G166"/>
    <mergeCell ref="J171:J174"/>
    <mergeCell ref="K171:K174"/>
    <mergeCell ref="B151:B166"/>
    <mergeCell ref="C151:C166"/>
    <mergeCell ref="D155:D170"/>
    <mergeCell ref="E159:E174"/>
    <mergeCell ref="F159:F162"/>
    <mergeCell ref="G159:G162"/>
    <mergeCell ref="F167:F170"/>
    <mergeCell ref="B167:B186"/>
    <mergeCell ref="C167:C186"/>
    <mergeCell ref="D171:D190"/>
    <mergeCell ref="E175:E194"/>
    <mergeCell ref="F175:F178"/>
    <mergeCell ref="G175:G178"/>
    <mergeCell ref="F179:F182"/>
    <mergeCell ref="G179:G182"/>
    <mergeCell ref="F171:F174"/>
    <mergeCell ref="H155:H158"/>
    <mergeCell ref="I155:I158"/>
    <mergeCell ref="J155:J158"/>
    <mergeCell ref="K155:K158"/>
    <mergeCell ref="G151:G154"/>
    <mergeCell ref="H159:H162"/>
    <mergeCell ref="H163:H166"/>
    <mergeCell ref="H171:H174"/>
    <mergeCell ref="H151:H154"/>
    <mergeCell ref="I159:I162"/>
    <mergeCell ref="I163:I166"/>
    <mergeCell ref="I171:I174"/>
    <mergeCell ref="I151:I154"/>
    <mergeCell ref="J151:J154"/>
    <mergeCell ref="K151:K154"/>
    <mergeCell ref="K163:K166"/>
    <mergeCell ref="G167:G170"/>
    <mergeCell ref="H167:H170"/>
    <mergeCell ref="I167:I170"/>
    <mergeCell ref="J167:J170"/>
    <mergeCell ref="K167:K170"/>
    <mergeCell ref="J159:J162"/>
    <mergeCell ref="K159:K162"/>
    <mergeCell ref="J163:J166"/>
    <mergeCell ref="I187:I190"/>
    <mergeCell ref="J187:J190"/>
    <mergeCell ref="K179:K182"/>
    <mergeCell ref="H183:H186"/>
    <mergeCell ref="I183:I186"/>
    <mergeCell ref="K187:K190"/>
    <mergeCell ref="F183:F186"/>
    <mergeCell ref="G183:G186"/>
    <mergeCell ref="H175:H178"/>
    <mergeCell ref="I175:I178"/>
    <mergeCell ref="J175:J178"/>
    <mergeCell ref="K175:K178"/>
    <mergeCell ref="J183:J186"/>
    <mergeCell ref="K183:K186"/>
    <mergeCell ref="H179:H182"/>
    <mergeCell ref="I179:I182"/>
    <mergeCell ref="J179:J182"/>
    <mergeCell ref="K195:K198"/>
    <mergeCell ref="K199:K202"/>
    <mergeCell ref="K203:K206"/>
    <mergeCell ref="J199:J202"/>
    <mergeCell ref="J203:J206"/>
    <mergeCell ref="F187:F190"/>
    <mergeCell ref="G187:G190"/>
    <mergeCell ref="B187:B206"/>
    <mergeCell ref="C187:C206"/>
    <mergeCell ref="D191:D210"/>
    <mergeCell ref="E195:E214"/>
    <mergeCell ref="F195:F198"/>
    <mergeCell ref="G195:G198"/>
    <mergeCell ref="F207:F210"/>
    <mergeCell ref="G207:G210"/>
    <mergeCell ref="F191:F194"/>
    <mergeCell ref="G191:G194"/>
    <mergeCell ref="H191:H194"/>
    <mergeCell ref="I191:I194"/>
    <mergeCell ref="J191:J194"/>
    <mergeCell ref="K191:K194"/>
    <mergeCell ref="F199:F202"/>
    <mergeCell ref="G199:G202"/>
    <mergeCell ref="H187:H190"/>
    <mergeCell ref="H199:H202"/>
    <mergeCell ref="I199:I202"/>
    <mergeCell ref="F203:F206"/>
    <mergeCell ref="G203:G206"/>
    <mergeCell ref="H203:H206"/>
    <mergeCell ref="I203:I206"/>
    <mergeCell ref="H195:H198"/>
    <mergeCell ref="I195:I198"/>
    <mergeCell ref="J207:J210"/>
    <mergeCell ref="J195:J198"/>
    <mergeCell ref="K207:K210"/>
    <mergeCell ref="F211:F214"/>
    <mergeCell ref="G211:G214"/>
    <mergeCell ref="H211:H214"/>
    <mergeCell ref="I211:I214"/>
    <mergeCell ref="J211:J214"/>
    <mergeCell ref="K211:K214"/>
    <mergeCell ref="H207:H210"/>
    <mergeCell ref="I207:I210"/>
    <mergeCell ref="B207:B218"/>
    <mergeCell ref="C207:C218"/>
    <mergeCell ref="D211:D222"/>
    <mergeCell ref="E215:E226"/>
    <mergeCell ref="F215:F218"/>
    <mergeCell ref="G215:G218"/>
    <mergeCell ref="B219:B238"/>
    <mergeCell ref="C219:C238"/>
    <mergeCell ref="D223:D242"/>
    <mergeCell ref="E227:E246"/>
    <mergeCell ref="F227:F230"/>
    <mergeCell ref="G227:G230"/>
    <mergeCell ref="B239:B242"/>
    <mergeCell ref="C239:C242"/>
    <mergeCell ref="D243:D246"/>
    <mergeCell ref="F231:F234"/>
    <mergeCell ref="G231:G234"/>
    <mergeCell ref="F223:F226"/>
    <mergeCell ref="G223:G226"/>
    <mergeCell ref="H215:H218"/>
    <mergeCell ref="I215:I218"/>
    <mergeCell ref="J215:J218"/>
    <mergeCell ref="K215:K218"/>
    <mergeCell ref="F219:F222"/>
    <mergeCell ref="G219:G222"/>
    <mergeCell ref="H219:H222"/>
    <mergeCell ref="I219:I222"/>
    <mergeCell ref="J219:J222"/>
    <mergeCell ref="K219:K222"/>
    <mergeCell ref="H223:H226"/>
    <mergeCell ref="I223:I226"/>
    <mergeCell ref="J239:J242"/>
    <mergeCell ref="J223:J226"/>
    <mergeCell ref="K223:K226"/>
    <mergeCell ref="K239:K242"/>
    <mergeCell ref="J231:J234"/>
    <mergeCell ref="H235:H238"/>
    <mergeCell ref="I235:I238"/>
    <mergeCell ref="J235:J238"/>
    <mergeCell ref="H231:H234"/>
    <mergeCell ref="I231:I234"/>
    <mergeCell ref="J227:J230"/>
    <mergeCell ref="K227:K230"/>
    <mergeCell ref="K231:K234"/>
    <mergeCell ref="K235:K238"/>
    <mergeCell ref="H227:H230"/>
    <mergeCell ref="I227:I230"/>
    <mergeCell ref="H247:H250"/>
    <mergeCell ref="I247:I250"/>
    <mergeCell ref="F235:F238"/>
    <mergeCell ref="G235:G238"/>
    <mergeCell ref="F243:F246"/>
    <mergeCell ref="G243:G246"/>
    <mergeCell ref="H243:H246"/>
    <mergeCell ref="I243:I246"/>
    <mergeCell ref="F239:F242"/>
    <mergeCell ref="G239:G242"/>
    <mergeCell ref="H239:H242"/>
    <mergeCell ref="I239:I242"/>
    <mergeCell ref="J247:J250"/>
    <mergeCell ref="K247:K250"/>
    <mergeCell ref="B243:B254"/>
    <mergeCell ref="C243:C254"/>
    <mergeCell ref="D247:D258"/>
    <mergeCell ref="E251:E262"/>
    <mergeCell ref="F251:F254"/>
    <mergeCell ref="G251:G254"/>
    <mergeCell ref="H251:H254"/>
    <mergeCell ref="I251:I254"/>
    <mergeCell ref="J243:J246"/>
    <mergeCell ref="K243:K246"/>
    <mergeCell ref="K259:K262"/>
    <mergeCell ref="J251:J254"/>
    <mergeCell ref="K251:K254"/>
    <mergeCell ref="F255:F258"/>
    <mergeCell ref="G255:G258"/>
    <mergeCell ref="H255:H258"/>
    <mergeCell ref="I255:I258"/>
    <mergeCell ref="J255:J258"/>
    <mergeCell ref="K255:K258"/>
    <mergeCell ref="E247:E250"/>
    <mergeCell ref="F247:F250"/>
    <mergeCell ref="G247:G250"/>
    <mergeCell ref="I263:I266"/>
    <mergeCell ref="K263:K266"/>
    <mergeCell ref="K267:K270"/>
    <mergeCell ref="K271:K274"/>
    <mergeCell ref="G263:G266"/>
    <mergeCell ref="G275:G278"/>
    <mergeCell ref="H275:H278"/>
    <mergeCell ref="I275:I278"/>
    <mergeCell ref="J275:J278"/>
    <mergeCell ref="H271:H274"/>
    <mergeCell ref="I267:I270"/>
    <mergeCell ref="J267:J270"/>
    <mergeCell ref="J263:J266"/>
    <mergeCell ref="G271:G274"/>
    <mergeCell ref="H263:H266"/>
    <mergeCell ref="G267:G270"/>
    <mergeCell ref="H267:H270"/>
    <mergeCell ref="I271:I274"/>
    <mergeCell ref="J271:J274"/>
    <mergeCell ref="B307:B310"/>
    <mergeCell ref="C307:C310"/>
    <mergeCell ref="K275:K278"/>
    <mergeCell ref="J279:J282"/>
    <mergeCell ref="K279:K282"/>
    <mergeCell ref="F287:F290"/>
    <mergeCell ref="G287:G290"/>
    <mergeCell ref="H279:H282"/>
    <mergeCell ref="B255:B274"/>
    <mergeCell ref="C255:C274"/>
    <mergeCell ref="D259:D278"/>
    <mergeCell ref="E263:E282"/>
    <mergeCell ref="F263:F266"/>
    <mergeCell ref="F271:F274"/>
    <mergeCell ref="F279:F282"/>
    <mergeCell ref="G279:G282"/>
    <mergeCell ref="F259:F262"/>
    <mergeCell ref="G259:G262"/>
    <mergeCell ref="H259:H262"/>
    <mergeCell ref="F267:F270"/>
    <mergeCell ref="I259:I262"/>
    <mergeCell ref="J259:J262"/>
    <mergeCell ref="I279:I282"/>
    <mergeCell ref="F275:F278"/>
    <mergeCell ref="B275:B306"/>
    <mergeCell ref="C275:C306"/>
    <mergeCell ref="D279:D310"/>
    <mergeCell ref="E283:E314"/>
    <mergeCell ref="F283:F286"/>
    <mergeCell ref="H307:H310"/>
    <mergeCell ref="F311:F314"/>
    <mergeCell ref="G283:G286"/>
    <mergeCell ref="K283:K286"/>
    <mergeCell ref="K287:K290"/>
    <mergeCell ref="K291:K294"/>
    <mergeCell ref="F295:F298"/>
    <mergeCell ref="G295:G298"/>
    <mergeCell ref="H295:H298"/>
    <mergeCell ref="I295:I298"/>
    <mergeCell ref="J295:J298"/>
    <mergeCell ref="K295:K298"/>
    <mergeCell ref="J287:J290"/>
    <mergeCell ref="F291:F294"/>
    <mergeCell ref="G291:G294"/>
    <mergeCell ref="H291:H294"/>
    <mergeCell ref="I291:I294"/>
    <mergeCell ref="J291:J294"/>
    <mergeCell ref="J283:J286"/>
    <mergeCell ref="H283:H286"/>
    <mergeCell ref="I283:I286"/>
    <mergeCell ref="H287:H290"/>
    <mergeCell ref="I287:I290"/>
    <mergeCell ref="F307:F310"/>
    <mergeCell ref="G307:G310"/>
    <mergeCell ref="J307:J310"/>
    <mergeCell ref="K299:K302"/>
    <mergeCell ref="F303:F306"/>
    <mergeCell ref="G303:G306"/>
    <mergeCell ref="H303:H306"/>
    <mergeCell ref="I303:I306"/>
    <mergeCell ref="K307:K310"/>
    <mergeCell ref="J303:J306"/>
    <mergeCell ref="K303:K306"/>
    <mergeCell ref="F299:F302"/>
    <mergeCell ref="G299:G302"/>
    <mergeCell ref="H299:H302"/>
    <mergeCell ref="I299:I302"/>
    <mergeCell ref="J299:J302"/>
    <mergeCell ref="I307:I310"/>
    <mergeCell ref="J315:J318"/>
    <mergeCell ref="K315:K318"/>
    <mergeCell ref="B311:B318"/>
    <mergeCell ref="C311:C318"/>
    <mergeCell ref="D315:D322"/>
    <mergeCell ref="E319:E326"/>
    <mergeCell ref="F319:F322"/>
    <mergeCell ref="G319:G322"/>
    <mergeCell ref="H319:H322"/>
    <mergeCell ref="I319:I322"/>
    <mergeCell ref="D311:D314"/>
    <mergeCell ref="E315:E318"/>
    <mergeCell ref="F315:F318"/>
    <mergeCell ref="G315:G318"/>
    <mergeCell ref="H315:H318"/>
    <mergeCell ref="I315:I318"/>
    <mergeCell ref="G311:G314"/>
    <mergeCell ref="H311:H314"/>
    <mergeCell ref="I311:I314"/>
    <mergeCell ref="J311:J314"/>
    <mergeCell ref="K311:K314"/>
    <mergeCell ref="B319:B322"/>
    <mergeCell ref="C319:C322"/>
    <mergeCell ref="D323:D326"/>
    <mergeCell ref="C347:C354"/>
    <mergeCell ref="D351:D358"/>
    <mergeCell ref="E355:E362"/>
    <mergeCell ref="E327:E330"/>
    <mergeCell ref="F327:F330"/>
    <mergeCell ref="G327:G330"/>
    <mergeCell ref="J319:J322"/>
    <mergeCell ref="K319:K322"/>
    <mergeCell ref="F323:F326"/>
    <mergeCell ref="G323:G326"/>
    <mergeCell ref="H323:H326"/>
    <mergeCell ref="I323:I326"/>
    <mergeCell ref="J323:J326"/>
    <mergeCell ref="K323:K326"/>
    <mergeCell ref="H327:H330"/>
    <mergeCell ref="I327:I330"/>
    <mergeCell ref="J327:J330"/>
    <mergeCell ref="K327:K330"/>
    <mergeCell ref="K339:K342"/>
    <mergeCell ref="H331:H334"/>
    <mergeCell ref="I331:I334"/>
    <mergeCell ref="J331:J334"/>
    <mergeCell ref="K331:K334"/>
    <mergeCell ref="F335:F338"/>
    <mergeCell ref="G335:G338"/>
    <mergeCell ref="H335:H338"/>
    <mergeCell ref="I335:I338"/>
    <mergeCell ref="J335:J338"/>
    <mergeCell ref="K335:K338"/>
    <mergeCell ref="F339:F342"/>
    <mergeCell ref="G339:G342"/>
    <mergeCell ref="F331:F334"/>
    <mergeCell ref="G331:G334"/>
    <mergeCell ref="H339:H342"/>
    <mergeCell ref="I339:I342"/>
    <mergeCell ref="J339:J342"/>
    <mergeCell ref="K343:K346"/>
    <mergeCell ref="F347:F350"/>
    <mergeCell ref="G347:G350"/>
    <mergeCell ref="H347:H350"/>
    <mergeCell ref="I347:I350"/>
    <mergeCell ref="J347:J350"/>
    <mergeCell ref="K347:K350"/>
    <mergeCell ref="H351:H354"/>
    <mergeCell ref="I351:I354"/>
    <mergeCell ref="J351:J354"/>
    <mergeCell ref="K351:K354"/>
    <mergeCell ref="F343:F346"/>
    <mergeCell ref="G343:G346"/>
    <mergeCell ref="F351:F354"/>
    <mergeCell ref="G351:G354"/>
    <mergeCell ref="H343:H346"/>
    <mergeCell ref="I343:I346"/>
    <mergeCell ref="J343:J346"/>
    <mergeCell ref="H355:H358"/>
    <mergeCell ref="F355:F358"/>
    <mergeCell ref="G355:G358"/>
    <mergeCell ref="I355:I358"/>
    <mergeCell ref="J355:J358"/>
    <mergeCell ref="K355:K358"/>
    <mergeCell ref="F359:F362"/>
    <mergeCell ref="G359:G362"/>
    <mergeCell ref="H359:H362"/>
    <mergeCell ref="I359:I362"/>
    <mergeCell ref="J359:J362"/>
    <mergeCell ref="K359:K362"/>
    <mergeCell ref="H363:H366"/>
    <mergeCell ref="I363:I366"/>
    <mergeCell ref="J363:J366"/>
    <mergeCell ref="K363:K366"/>
    <mergeCell ref="F367:F370"/>
    <mergeCell ref="G367:G370"/>
    <mergeCell ref="H367:H370"/>
    <mergeCell ref="I367:I370"/>
    <mergeCell ref="J367:J370"/>
    <mergeCell ref="K367:K370"/>
    <mergeCell ref="F363:F366"/>
    <mergeCell ref="G363:G366"/>
    <mergeCell ref="E407:E410"/>
    <mergeCell ref="F407:F410"/>
    <mergeCell ref="G407:G410"/>
    <mergeCell ref="H407:H410"/>
    <mergeCell ref="I407:I410"/>
    <mergeCell ref="K407:K410"/>
    <mergeCell ref="J407:J410"/>
    <mergeCell ref="I375:I378"/>
    <mergeCell ref="J375:J378"/>
    <mergeCell ref="K375:K378"/>
    <mergeCell ref="H403:H406"/>
    <mergeCell ref="I403:I406"/>
    <mergeCell ref="J379:J382"/>
    <mergeCell ref="K379:K382"/>
    <mergeCell ref="K403:K406"/>
    <mergeCell ref="K383:K386"/>
    <mergeCell ref="H375:H378"/>
    <mergeCell ref="F383:F386"/>
    <mergeCell ref="G383:G386"/>
    <mergeCell ref="H383:H386"/>
    <mergeCell ref="I383:I386"/>
    <mergeCell ref="J383:J386"/>
    <mergeCell ref="F379:F382"/>
    <mergeCell ref="G379:G382"/>
    <mergeCell ref="B16:B17"/>
    <mergeCell ref="C16:C17"/>
    <mergeCell ref="D16:D17"/>
    <mergeCell ref="E16:E17"/>
    <mergeCell ref="F16:F17"/>
    <mergeCell ref="D403:D406"/>
    <mergeCell ref="D399:D402"/>
    <mergeCell ref="E403:E406"/>
    <mergeCell ref="F403:F406"/>
    <mergeCell ref="F375:F378"/>
    <mergeCell ref="B355:B366"/>
    <mergeCell ref="C355:C366"/>
    <mergeCell ref="D359:D370"/>
    <mergeCell ref="E363:E374"/>
    <mergeCell ref="F371:F374"/>
    <mergeCell ref="B323:B334"/>
    <mergeCell ref="C323:C334"/>
    <mergeCell ref="D327:D338"/>
    <mergeCell ref="E331:E342"/>
    <mergeCell ref="B335:B346"/>
    <mergeCell ref="C335:C346"/>
    <mergeCell ref="D339:D350"/>
    <mergeCell ref="E343:E354"/>
    <mergeCell ref="B347:B354"/>
    <mergeCell ref="G403:G406"/>
    <mergeCell ref="J403:J406"/>
    <mergeCell ref="H379:H382"/>
    <mergeCell ref="I379:I382"/>
    <mergeCell ref="H371:H374"/>
    <mergeCell ref="I371:I374"/>
    <mergeCell ref="J371:J374"/>
    <mergeCell ref="K371:K374"/>
    <mergeCell ref="B367:B378"/>
    <mergeCell ref="C367:C378"/>
    <mergeCell ref="D371:D382"/>
    <mergeCell ref="E375:E386"/>
    <mergeCell ref="G375:G378"/>
    <mergeCell ref="G371:G374"/>
  </mergeCells>
  <phoneticPr fontId="26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53" fitToHeight="0" orientation="landscape" r:id="rId1"/>
  <headerFooter differentFirst="1" alignWithMargins="0">
    <oddHeader>&amp;C&amp;P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/>
    <pageSetUpPr fitToPage="1"/>
  </sheetPr>
  <dimension ref="A1:R474"/>
  <sheetViews>
    <sheetView showWhiteSpace="0" zoomScale="90" zoomScaleNormal="90" workbookViewId="0">
      <pane ySplit="13" topLeftCell="A48" activePane="bottomLeft" state="frozen"/>
      <selection pane="bottomLeft" activeCell="P28" sqref="P28:P43"/>
    </sheetView>
  </sheetViews>
  <sheetFormatPr defaultColWidth="8.85546875" defaultRowHeight="15.75" x14ac:dyDescent="0.25"/>
  <cols>
    <col min="1" max="1" width="2.140625" style="37" customWidth="1"/>
    <col min="2" max="2" width="13.7109375" style="37" customWidth="1"/>
    <col min="3" max="3" width="12.85546875" style="48" customWidth="1"/>
    <col min="4" max="4" width="10.28515625" style="48" customWidth="1"/>
    <col min="5" max="5" width="10.7109375" style="48" hidden="1" customWidth="1"/>
    <col min="6" max="6" width="13.7109375" style="48" customWidth="1"/>
    <col min="7" max="7" width="41.7109375" style="802" customWidth="1"/>
    <col min="8" max="8" width="21.5703125" style="798" customWidth="1"/>
    <col min="9" max="9" width="7.42578125" style="48" customWidth="1"/>
    <col min="10" max="10" width="11.28515625" style="48" customWidth="1"/>
    <col min="11" max="11" width="10.5703125" style="48" customWidth="1"/>
    <col min="12" max="12" width="9" style="48" customWidth="1"/>
    <col min="13" max="13" width="10.85546875" style="707" customWidth="1"/>
    <col min="14" max="14" width="11.42578125" style="707" customWidth="1"/>
    <col min="15" max="15" width="11.140625" style="707" customWidth="1"/>
    <col min="16" max="16" width="8.85546875" style="37"/>
    <col min="17" max="17" width="14.28515625" style="37" bestFit="1" customWidth="1"/>
    <col min="18" max="16384" width="8.85546875" style="37"/>
  </cols>
  <sheetData>
    <row r="1" spans="2:16" x14ac:dyDescent="0.25">
      <c r="J1" s="787" t="s">
        <v>1234</v>
      </c>
    </row>
    <row r="2" spans="2:16" x14ac:dyDescent="0.25">
      <c r="J2" s="787" t="s">
        <v>1074</v>
      </c>
    </row>
    <row r="3" spans="2:16" x14ac:dyDescent="0.25">
      <c r="J3" s="787" t="s">
        <v>499</v>
      </c>
    </row>
    <row r="4" spans="2:16" x14ac:dyDescent="0.25">
      <c r="J4" s="787" t="s">
        <v>500</v>
      </c>
    </row>
    <row r="5" spans="2:16" x14ac:dyDescent="0.25">
      <c r="J5" s="787" t="s">
        <v>1188</v>
      </c>
    </row>
    <row r="6" spans="2:16" x14ac:dyDescent="0.25">
      <c r="J6" s="787" t="s">
        <v>502</v>
      </c>
    </row>
    <row r="7" spans="2:16" ht="18.75" x14ac:dyDescent="0.25">
      <c r="C7" s="651"/>
      <c r="D7" s="80"/>
      <c r="E7" s="80"/>
      <c r="F7" s="80"/>
      <c r="G7" s="92"/>
      <c r="H7" s="80"/>
      <c r="I7" s="80"/>
      <c r="J7" s="80"/>
      <c r="K7" s="80"/>
      <c r="L7" s="80"/>
      <c r="M7" s="788"/>
      <c r="N7" s="788"/>
    </row>
    <row r="8" spans="2:16" ht="18.75" customHeight="1" x14ac:dyDescent="0.3">
      <c r="B8" s="1389" t="s">
        <v>1121</v>
      </c>
      <c r="C8" s="1389"/>
      <c r="D8" s="1389"/>
      <c r="E8" s="1389"/>
      <c r="F8" s="1389"/>
      <c r="G8" s="1389"/>
      <c r="H8" s="1389"/>
      <c r="I8" s="1389"/>
      <c r="J8" s="1389"/>
      <c r="K8" s="1389"/>
      <c r="L8" s="1389"/>
      <c r="M8" s="1389"/>
      <c r="N8" s="1389"/>
      <c r="O8" s="1389"/>
    </row>
    <row r="9" spans="2:16" ht="42.75" customHeight="1" x14ac:dyDescent="0.25">
      <c r="B9" s="1203" t="s">
        <v>1186</v>
      </c>
      <c r="C9" s="1203"/>
      <c r="D9" s="1203"/>
      <c r="E9" s="1203"/>
      <c r="F9" s="1203"/>
      <c r="G9" s="1203"/>
      <c r="H9" s="1203"/>
      <c r="I9" s="1203"/>
      <c r="J9" s="1203"/>
      <c r="K9" s="1203"/>
      <c r="L9" s="1203"/>
      <c r="M9" s="1203"/>
      <c r="N9" s="1203"/>
      <c r="O9" s="1203"/>
    </row>
    <row r="11" spans="2:16" ht="37.5" customHeight="1" x14ac:dyDescent="0.25">
      <c r="B11" s="1364" t="s">
        <v>1118</v>
      </c>
      <c r="C11" s="1364" t="s">
        <v>1119</v>
      </c>
      <c r="D11" s="1364" t="s">
        <v>4</v>
      </c>
      <c r="E11" s="840" t="s">
        <v>50</v>
      </c>
      <c r="F11" s="1364" t="s">
        <v>1120</v>
      </c>
      <c r="G11" s="1364" t="s">
        <v>1162</v>
      </c>
      <c r="H11" s="1364" t="s">
        <v>1161</v>
      </c>
      <c r="I11" s="1364"/>
      <c r="J11" s="1364"/>
      <c r="K11" s="1364"/>
      <c r="L11" s="1364"/>
      <c r="M11" s="1364" t="s">
        <v>1165</v>
      </c>
      <c r="N11" s="1364"/>
      <c r="O11" s="1364"/>
    </row>
    <row r="12" spans="2:16" ht="15.75" customHeight="1" x14ac:dyDescent="0.25">
      <c r="B12" s="1364"/>
      <c r="C12" s="1364"/>
      <c r="D12" s="1364"/>
      <c r="E12" s="840"/>
      <c r="F12" s="1364"/>
      <c r="G12" s="1364"/>
      <c r="H12" s="1364" t="s">
        <v>18</v>
      </c>
      <c r="I12" s="1364" t="s">
        <v>148</v>
      </c>
      <c r="J12" s="1364" t="s">
        <v>150</v>
      </c>
      <c r="K12" s="1364"/>
      <c r="L12" s="1364"/>
      <c r="M12" s="1364" t="s">
        <v>1091</v>
      </c>
      <c r="N12" s="1364" t="s">
        <v>1092</v>
      </c>
      <c r="O12" s="1364" t="s">
        <v>1117</v>
      </c>
    </row>
    <row r="13" spans="2:16" x14ac:dyDescent="0.25">
      <c r="B13" s="1364"/>
      <c r="C13" s="1364"/>
      <c r="D13" s="1364"/>
      <c r="E13" s="840"/>
      <c r="F13" s="1364"/>
      <c r="G13" s="1364"/>
      <c r="H13" s="1364"/>
      <c r="I13" s="1364"/>
      <c r="J13" s="832" t="s">
        <v>1091</v>
      </c>
      <c r="K13" s="841" t="s">
        <v>1092</v>
      </c>
      <c r="L13" s="841" t="s">
        <v>1117</v>
      </c>
      <c r="M13" s="1364"/>
      <c r="N13" s="1364"/>
      <c r="O13" s="1364"/>
    </row>
    <row r="14" spans="2:16" x14ac:dyDescent="0.25">
      <c r="B14" s="806">
        <v>1</v>
      </c>
      <c r="C14" s="808">
        <v>2</v>
      </c>
      <c r="D14" s="808">
        <v>3</v>
      </c>
      <c r="E14" s="808">
        <v>4</v>
      </c>
      <c r="F14" s="808">
        <v>4</v>
      </c>
      <c r="G14" s="808">
        <v>5</v>
      </c>
      <c r="H14" s="808">
        <v>6</v>
      </c>
      <c r="I14" s="808">
        <v>7</v>
      </c>
      <c r="J14" s="808">
        <v>8</v>
      </c>
      <c r="K14" s="808">
        <v>10</v>
      </c>
      <c r="L14" s="808">
        <v>11</v>
      </c>
      <c r="M14" s="808">
        <v>13</v>
      </c>
      <c r="N14" s="808">
        <v>14</v>
      </c>
      <c r="O14" s="808">
        <v>15</v>
      </c>
      <c r="P14" s="803"/>
    </row>
    <row r="15" spans="2:16" ht="26.25" customHeight="1" x14ac:dyDescent="0.25">
      <c r="B15" s="1392" t="s">
        <v>1163</v>
      </c>
      <c r="C15" s="1393"/>
      <c r="D15" s="1393"/>
      <c r="E15" s="1393"/>
      <c r="F15" s="1393"/>
      <c r="G15" s="1393"/>
      <c r="H15" s="1393"/>
      <c r="I15" s="1393"/>
      <c r="J15" s="1393"/>
      <c r="K15" s="1393"/>
      <c r="L15" s="1394"/>
      <c r="M15" s="897">
        <f>M16+M44+M46+M49+M52</f>
        <v>107429.76000000001</v>
      </c>
      <c r="N15" s="897">
        <f>N16+N44+N46+N49+N52</f>
        <v>99945.770000000019</v>
      </c>
      <c r="O15" s="897">
        <f>O16+O44+O46+O49+O52</f>
        <v>100409.18000000002</v>
      </c>
      <c r="P15" s="805"/>
    </row>
    <row r="16" spans="2:16" ht="32.25" customHeight="1" x14ac:dyDescent="0.25">
      <c r="B16" s="836" t="s">
        <v>374</v>
      </c>
      <c r="C16" s="836" t="s">
        <v>172</v>
      </c>
      <c r="D16" s="837">
        <v>69111</v>
      </c>
      <c r="E16" s="837" t="s">
        <v>116</v>
      </c>
      <c r="F16" s="844" t="s">
        <v>116</v>
      </c>
      <c r="G16" s="838" t="s">
        <v>1048</v>
      </c>
      <c r="H16" s="837" t="s">
        <v>116</v>
      </c>
      <c r="I16" s="844" t="s">
        <v>116</v>
      </c>
      <c r="J16" s="836" t="s">
        <v>116</v>
      </c>
      <c r="K16" s="836" t="s">
        <v>116</v>
      </c>
      <c r="L16" s="836" t="s">
        <v>116</v>
      </c>
      <c r="M16" s="839">
        <f>M17+M28</f>
        <v>57431.310000000012</v>
      </c>
      <c r="N16" s="839">
        <f>N17+N28</f>
        <v>57431.310000000012</v>
      </c>
      <c r="O16" s="839">
        <f>O17+O28</f>
        <v>57431.310000000012</v>
      </c>
      <c r="P16" s="803"/>
    </row>
    <row r="17" spans="2:18" ht="42" customHeight="1" x14ac:dyDescent="0.25">
      <c r="B17" s="853" t="s">
        <v>374</v>
      </c>
      <c r="C17" s="853" t="s">
        <v>172</v>
      </c>
      <c r="D17" s="854">
        <v>69111</v>
      </c>
      <c r="E17" s="854" t="s">
        <v>116</v>
      </c>
      <c r="F17" s="855" t="s">
        <v>116</v>
      </c>
      <c r="G17" s="856" t="s">
        <v>585</v>
      </c>
      <c r="H17" s="854" t="s">
        <v>1250</v>
      </c>
      <c r="I17" s="855" t="s">
        <v>393</v>
      </c>
      <c r="J17" s="857">
        <f>J18+J19+J22+J24+J25</f>
        <v>28765</v>
      </c>
      <c r="K17" s="857">
        <f>K18+K19+K22+K24+K25</f>
        <v>28765</v>
      </c>
      <c r="L17" s="857">
        <f>L18+L19+L22+L24+L25</f>
        <v>28765</v>
      </c>
      <c r="M17" s="858">
        <f>SUM(M18:M27)</f>
        <v>4107.53</v>
      </c>
      <c r="N17" s="858">
        <f>SUM(N18:N27)</f>
        <v>4107.53</v>
      </c>
      <c r="O17" s="858">
        <f>SUM(O18:O27)</f>
        <v>4107.53</v>
      </c>
      <c r="P17" s="690"/>
      <c r="Q17" s="690"/>
      <c r="R17" s="803"/>
    </row>
    <row r="18" spans="2:18" ht="22.5" customHeight="1" x14ac:dyDescent="0.25">
      <c r="B18" s="607" t="s">
        <v>374</v>
      </c>
      <c r="C18" s="607" t="s">
        <v>172</v>
      </c>
      <c r="D18" s="605">
        <v>69111</v>
      </c>
      <c r="E18" s="605">
        <v>27300364</v>
      </c>
      <c r="F18" s="605" t="s">
        <v>192</v>
      </c>
      <c r="G18" s="819" t="s">
        <v>1151</v>
      </c>
      <c r="H18" s="605" t="s">
        <v>1251</v>
      </c>
      <c r="I18" s="821" t="s">
        <v>393</v>
      </c>
      <c r="J18" s="607" t="s">
        <v>948</v>
      </c>
      <c r="K18" s="607" t="s">
        <v>948</v>
      </c>
      <c r="L18" s="607" t="s">
        <v>948</v>
      </c>
      <c r="M18" s="834">
        <v>569.4</v>
      </c>
      <c r="N18" s="834">
        <v>569.4</v>
      </c>
      <c r="O18" s="834">
        <v>569.4</v>
      </c>
      <c r="P18" s="690"/>
      <c r="Q18" s="690"/>
      <c r="R18" s="803"/>
    </row>
    <row r="19" spans="2:18" ht="24" customHeight="1" x14ac:dyDescent="0.25">
      <c r="B19" s="607" t="s">
        <v>374</v>
      </c>
      <c r="C19" s="607" t="s">
        <v>172</v>
      </c>
      <c r="D19" s="605">
        <v>69111</v>
      </c>
      <c r="E19" s="605">
        <v>27300364</v>
      </c>
      <c r="F19" s="605" t="s">
        <v>192</v>
      </c>
      <c r="G19" s="819" t="s">
        <v>1152</v>
      </c>
      <c r="H19" s="605" t="s">
        <v>1252</v>
      </c>
      <c r="I19" s="821" t="s">
        <v>393</v>
      </c>
      <c r="J19" s="607" t="s">
        <v>949</v>
      </c>
      <c r="K19" s="607" t="s">
        <v>949</v>
      </c>
      <c r="L19" s="607" t="s">
        <v>949</v>
      </c>
      <c r="M19" s="834">
        <v>981.6</v>
      </c>
      <c r="N19" s="834">
        <v>981.6</v>
      </c>
      <c r="O19" s="834">
        <v>981.6</v>
      </c>
      <c r="P19" s="690"/>
      <c r="Q19" s="690"/>
      <c r="R19" s="803"/>
    </row>
    <row r="20" spans="2:18" ht="24" customHeight="1" x14ac:dyDescent="0.25">
      <c r="B20" s="607" t="s">
        <v>374</v>
      </c>
      <c r="C20" s="607" t="s">
        <v>172</v>
      </c>
      <c r="D20" s="605">
        <v>69111</v>
      </c>
      <c r="E20" s="605">
        <v>27300364</v>
      </c>
      <c r="F20" s="605" t="s">
        <v>192</v>
      </c>
      <c r="G20" s="819" t="s">
        <v>402</v>
      </c>
      <c r="H20" s="605" t="s">
        <v>1253</v>
      </c>
      <c r="I20" s="821" t="s">
        <v>403</v>
      </c>
      <c r="J20" s="607" t="s">
        <v>725</v>
      </c>
      <c r="K20" s="607" t="s">
        <v>725</v>
      </c>
      <c r="L20" s="607" t="s">
        <v>725</v>
      </c>
      <c r="M20" s="834">
        <v>1408</v>
      </c>
      <c r="N20" s="834">
        <v>1408</v>
      </c>
      <c r="O20" s="834">
        <v>1408</v>
      </c>
      <c r="P20" s="690"/>
      <c r="Q20" s="690"/>
      <c r="R20" s="803"/>
    </row>
    <row r="21" spans="2:18" ht="20.25" customHeight="1" x14ac:dyDescent="0.25">
      <c r="B21" s="607" t="s">
        <v>374</v>
      </c>
      <c r="C21" s="607" t="s">
        <v>172</v>
      </c>
      <c r="D21" s="605">
        <v>69111</v>
      </c>
      <c r="E21" s="605">
        <v>27300364</v>
      </c>
      <c r="F21" s="605" t="s">
        <v>192</v>
      </c>
      <c r="G21" s="819" t="s">
        <v>399</v>
      </c>
      <c r="H21" s="605" t="s">
        <v>1254</v>
      </c>
      <c r="I21" s="821" t="s">
        <v>400</v>
      </c>
      <c r="J21" s="607" t="s">
        <v>727</v>
      </c>
      <c r="K21" s="607" t="s">
        <v>727</v>
      </c>
      <c r="L21" s="607" t="s">
        <v>727</v>
      </c>
      <c r="M21" s="834">
        <v>517.20000000000005</v>
      </c>
      <c r="N21" s="834">
        <v>517.20000000000005</v>
      </c>
      <c r="O21" s="834">
        <v>517.20000000000005</v>
      </c>
      <c r="P21" s="690"/>
      <c r="Q21" s="690"/>
      <c r="R21" s="803"/>
    </row>
    <row r="22" spans="2:18" ht="21.75" customHeight="1" x14ac:dyDescent="0.25">
      <c r="B22" s="607" t="s">
        <v>374</v>
      </c>
      <c r="C22" s="607" t="s">
        <v>172</v>
      </c>
      <c r="D22" s="605">
        <v>69111</v>
      </c>
      <c r="E22" s="605">
        <v>27300364</v>
      </c>
      <c r="F22" s="605" t="s">
        <v>192</v>
      </c>
      <c r="G22" s="819" t="s">
        <v>396</v>
      </c>
      <c r="H22" s="605" t="s">
        <v>1255</v>
      </c>
      <c r="I22" s="821" t="s">
        <v>393</v>
      </c>
      <c r="J22" s="607" t="s">
        <v>950</v>
      </c>
      <c r="K22" s="607" t="s">
        <v>950</v>
      </c>
      <c r="L22" s="607" t="s">
        <v>950</v>
      </c>
      <c r="M22" s="834">
        <v>80</v>
      </c>
      <c r="N22" s="834">
        <v>80</v>
      </c>
      <c r="O22" s="834">
        <v>80</v>
      </c>
      <c r="P22" s="690"/>
      <c r="Q22" s="690"/>
      <c r="R22" s="803"/>
    </row>
    <row r="23" spans="2:18" ht="42" customHeight="1" x14ac:dyDescent="0.25">
      <c r="B23" s="607" t="s">
        <v>374</v>
      </c>
      <c r="C23" s="607" t="s">
        <v>172</v>
      </c>
      <c r="D23" s="605">
        <v>69111</v>
      </c>
      <c r="E23" s="605">
        <v>27300364</v>
      </c>
      <c r="F23" s="605" t="s">
        <v>192</v>
      </c>
      <c r="G23" s="819" t="s">
        <v>1181</v>
      </c>
      <c r="H23" s="605" t="s">
        <v>1256</v>
      </c>
      <c r="I23" s="821" t="s">
        <v>240</v>
      </c>
      <c r="J23" s="607" t="s">
        <v>263</v>
      </c>
      <c r="K23" s="607" t="s">
        <v>263</v>
      </c>
      <c r="L23" s="607" t="s">
        <v>263</v>
      </c>
      <c r="M23" s="834">
        <v>349.93</v>
      </c>
      <c r="N23" s="834">
        <v>349.93</v>
      </c>
      <c r="O23" s="834">
        <v>349.93</v>
      </c>
      <c r="P23" s="690"/>
      <c r="Q23" s="690"/>
      <c r="R23" s="803"/>
    </row>
    <row r="24" spans="2:18" ht="29.25" customHeight="1" x14ac:dyDescent="0.25">
      <c r="B24" s="607" t="s">
        <v>374</v>
      </c>
      <c r="C24" s="607" t="s">
        <v>172</v>
      </c>
      <c r="D24" s="605">
        <v>69111</v>
      </c>
      <c r="E24" s="605">
        <v>27300364</v>
      </c>
      <c r="F24" s="605" t="s">
        <v>192</v>
      </c>
      <c r="G24" s="819" t="s">
        <v>1178</v>
      </c>
      <c r="H24" s="605" t="s">
        <v>1257</v>
      </c>
      <c r="I24" s="821" t="s">
        <v>393</v>
      </c>
      <c r="J24" s="607" t="s">
        <v>953</v>
      </c>
      <c r="K24" s="607" t="s">
        <v>953</v>
      </c>
      <c r="L24" s="607" t="s">
        <v>953</v>
      </c>
      <c r="M24" s="834">
        <v>75</v>
      </c>
      <c r="N24" s="834">
        <v>75</v>
      </c>
      <c r="O24" s="834">
        <v>75</v>
      </c>
      <c r="P24" s="690"/>
      <c r="Q24" s="690"/>
      <c r="R24" s="803"/>
    </row>
    <row r="25" spans="2:18" ht="36.75" customHeight="1" x14ac:dyDescent="0.25">
      <c r="B25" s="607" t="s">
        <v>374</v>
      </c>
      <c r="C25" s="607" t="s">
        <v>172</v>
      </c>
      <c r="D25" s="605">
        <v>69111</v>
      </c>
      <c r="E25" s="605">
        <v>27300364</v>
      </c>
      <c r="F25" s="605" t="s">
        <v>192</v>
      </c>
      <c r="G25" s="819" t="s">
        <v>1159</v>
      </c>
      <c r="H25" s="605" t="s">
        <v>1258</v>
      </c>
      <c r="I25" s="821" t="s">
        <v>393</v>
      </c>
      <c r="J25" s="607" t="s">
        <v>953</v>
      </c>
      <c r="K25" s="607" t="s">
        <v>953</v>
      </c>
      <c r="L25" s="607" t="s">
        <v>953</v>
      </c>
      <c r="M25" s="834">
        <v>40</v>
      </c>
      <c r="N25" s="834">
        <v>40</v>
      </c>
      <c r="O25" s="834">
        <v>40</v>
      </c>
      <c r="P25" s="690"/>
      <c r="Q25" s="690"/>
      <c r="R25" s="803"/>
    </row>
    <row r="26" spans="2:18" ht="25.5" customHeight="1" x14ac:dyDescent="0.25">
      <c r="B26" s="607" t="s">
        <v>374</v>
      </c>
      <c r="C26" s="607" t="s">
        <v>172</v>
      </c>
      <c r="D26" s="605">
        <v>69111</v>
      </c>
      <c r="E26" s="605">
        <v>27300364</v>
      </c>
      <c r="F26" s="605" t="s">
        <v>192</v>
      </c>
      <c r="G26" s="819" t="s">
        <v>1179</v>
      </c>
      <c r="H26" s="605" t="s">
        <v>1257</v>
      </c>
      <c r="I26" s="821" t="s">
        <v>393</v>
      </c>
      <c r="J26" s="607" t="s">
        <v>1093</v>
      </c>
      <c r="K26" s="607" t="s">
        <v>1093</v>
      </c>
      <c r="L26" s="607" t="s">
        <v>1093</v>
      </c>
      <c r="M26" s="834">
        <v>54</v>
      </c>
      <c r="N26" s="834">
        <v>54</v>
      </c>
      <c r="O26" s="834">
        <v>54</v>
      </c>
      <c r="P26" s="803"/>
    </row>
    <row r="27" spans="2:18" ht="19.5" customHeight="1" x14ac:dyDescent="0.25">
      <c r="B27" s="607" t="s">
        <v>374</v>
      </c>
      <c r="C27" s="607" t="s">
        <v>172</v>
      </c>
      <c r="D27" s="605">
        <v>69111</v>
      </c>
      <c r="E27" s="605">
        <v>27300364</v>
      </c>
      <c r="F27" s="605" t="s">
        <v>192</v>
      </c>
      <c r="G27" s="819" t="s">
        <v>1094</v>
      </c>
      <c r="H27" s="605" t="s">
        <v>1258</v>
      </c>
      <c r="I27" s="821" t="s">
        <v>393</v>
      </c>
      <c r="J27" s="607" t="s">
        <v>1093</v>
      </c>
      <c r="K27" s="607" t="s">
        <v>1093</v>
      </c>
      <c r="L27" s="607" t="s">
        <v>1093</v>
      </c>
      <c r="M27" s="834">
        <v>32.4</v>
      </c>
      <c r="N27" s="834">
        <v>32.4</v>
      </c>
      <c r="O27" s="834">
        <v>32.4</v>
      </c>
      <c r="P27" s="803"/>
    </row>
    <row r="28" spans="2:18" ht="44.25" customHeight="1" x14ac:dyDescent="0.25">
      <c r="B28" s="853" t="s">
        <v>374</v>
      </c>
      <c r="C28" s="853" t="s">
        <v>172</v>
      </c>
      <c r="D28" s="854">
        <v>69111</v>
      </c>
      <c r="E28" s="854" t="s">
        <v>116</v>
      </c>
      <c r="F28" s="854" t="s">
        <v>116</v>
      </c>
      <c r="G28" s="856" t="s">
        <v>585</v>
      </c>
      <c r="H28" s="854" t="s">
        <v>234</v>
      </c>
      <c r="I28" s="855" t="s">
        <v>240</v>
      </c>
      <c r="J28" s="859">
        <f>J29+J30+J31+J32+J33+J34+J35+J36+J39+J40</f>
        <v>93</v>
      </c>
      <c r="K28" s="859">
        <f>K29+K30+K31+K32+K33+K34+K35+K36+K39+K40</f>
        <v>93</v>
      </c>
      <c r="L28" s="859">
        <f>L29+L30+L31+L32+L33+L34+L35+L36+L39+L40</f>
        <v>93</v>
      </c>
      <c r="M28" s="858">
        <f>SUM(M29:M43)</f>
        <v>53323.780000000013</v>
      </c>
      <c r="N28" s="858">
        <f>SUM(N29:N43)</f>
        <v>53323.780000000013</v>
      </c>
      <c r="O28" s="858">
        <f>SUM(O29:O43)</f>
        <v>53323.780000000013</v>
      </c>
      <c r="P28" s="810"/>
      <c r="Q28" s="50"/>
    </row>
    <row r="29" spans="2:18" ht="37.5" customHeight="1" x14ac:dyDescent="0.25">
      <c r="B29" s="607" t="s">
        <v>374</v>
      </c>
      <c r="C29" s="607" t="s">
        <v>172</v>
      </c>
      <c r="D29" s="605">
        <v>69111</v>
      </c>
      <c r="E29" s="605">
        <v>27300364</v>
      </c>
      <c r="F29" s="819" t="s">
        <v>1072</v>
      </c>
      <c r="G29" s="819" t="s">
        <v>1170</v>
      </c>
      <c r="H29" s="605" t="s">
        <v>1256</v>
      </c>
      <c r="I29" s="821" t="s">
        <v>240</v>
      </c>
      <c r="J29" s="828" t="s">
        <v>263</v>
      </c>
      <c r="K29" s="607" t="s">
        <v>263</v>
      </c>
      <c r="L29" s="607" t="s">
        <v>263</v>
      </c>
      <c r="M29" s="834">
        <v>465</v>
      </c>
      <c r="N29" s="834">
        <v>465</v>
      </c>
      <c r="O29" s="834">
        <v>465</v>
      </c>
      <c r="P29" s="803"/>
      <c r="Q29" s="51"/>
    </row>
    <row r="30" spans="2:18" ht="54.75" customHeight="1" x14ac:dyDescent="0.25">
      <c r="B30" s="607" t="s">
        <v>374</v>
      </c>
      <c r="C30" s="607" t="s">
        <v>172</v>
      </c>
      <c r="D30" s="605">
        <v>69111</v>
      </c>
      <c r="E30" s="605">
        <v>27300364</v>
      </c>
      <c r="F30" s="819" t="s">
        <v>1073</v>
      </c>
      <c r="G30" s="819" t="s">
        <v>1088</v>
      </c>
      <c r="H30" s="605" t="s">
        <v>1256</v>
      </c>
      <c r="I30" s="821" t="s">
        <v>240</v>
      </c>
      <c r="J30" s="828" t="s">
        <v>263</v>
      </c>
      <c r="K30" s="607" t="s">
        <v>263</v>
      </c>
      <c r="L30" s="607" t="s">
        <v>263</v>
      </c>
      <c r="M30" s="834">
        <v>398</v>
      </c>
      <c r="N30" s="834">
        <v>398</v>
      </c>
      <c r="O30" s="834">
        <v>398</v>
      </c>
      <c r="P30" s="805"/>
    </row>
    <row r="31" spans="2:18" ht="54" customHeight="1" x14ac:dyDescent="0.25">
      <c r="B31" s="607" t="s">
        <v>374</v>
      </c>
      <c r="C31" s="607" t="s">
        <v>172</v>
      </c>
      <c r="D31" s="605">
        <v>69111</v>
      </c>
      <c r="E31" s="605">
        <v>27300364</v>
      </c>
      <c r="F31" s="819" t="s">
        <v>200</v>
      </c>
      <c r="G31" s="819" t="s">
        <v>1033</v>
      </c>
      <c r="H31" s="605" t="s">
        <v>1256</v>
      </c>
      <c r="I31" s="821" t="s">
        <v>240</v>
      </c>
      <c r="J31" s="828" t="s">
        <v>263</v>
      </c>
      <c r="K31" s="607" t="s">
        <v>263</v>
      </c>
      <c r="L31" s="607" t="s">
        <v>263</v>
      </c>
      <c r="M31" s="834">
        <v>972</v>
      </c>
      <c r="N31" s="834">
        <v>972</v>
      </c>
      <c r="O31" s="834">
        <v>972</v>
      </c>
      <c r="P31" s="803"/>
    </row>
    <row r="32" spans="2:18" ht="74.25" customHeight="1" x14ac:dyDescent="0.25">
      <c r="B32" s="607" t="s">
        <v>374</v>
      </c>
      <c r="C32" s="607" t="s">
        <v>172</v>
      </c>
      <c r="D32" s="605">
        <v>69111</v>
      </c>
      <c r="E32" s="605">
        <v>27300364</v>
      </c>
      <c r="F32" s="819" t="s">
        <v>1075</v>
      </c>
      <c r="G32" s="819" t="s">
        <v>1182</v>
      </c>
      <c r="H32" s="605" t="s">
        <v>1256</v>
      </c>
      <c r="I32" s="821" t="s">
        <v>240</v>
      </c>
      <c r="J32" s="829">
        <v>3</v>
      </c>
      <c r="K32" s="607" t="s">
        <v>373</v>
      </c>
      <c r="L32" s="607" t="s">
        <v>373</v>
      </c>
      <c r="M32" s="834">
        <v>71.8</v>
      </c>
      <c r="N32" s="834">
        <v>71.8</v>
      </c>
      <c r="O32" s="834">
        <v>71.8</v>
      </c>
      <c r="P32" s="803"/>
    </row>
    <row r="33" spans="1:17" ht="61.5" customHeight="1" x14ac:dyDescent="0.25">
      <c r="A33" s="51"/>
      <c r="B33" s="607" t="s">
        <v>374</v>
      </c>
      <c r="C33" s="607" t="s">
        <v>172</v>
      </c>
      <c r="D33" s="605">
        <v>69111</v>
      </c>
      <c r="E33" s="605">
        <v>27300365</v>
      </c>
      <c r="F33" s="819" t="s">
        <v>1076</v>
      </c>
      <c r="G33" s="819" t="s">
        <v>1171</v>
      </c>
      <c r="H33" s="605" t="s">
        <v>1256</v>
      </c>
      <c r="I33" s="821" t="s">
        <v>240</v>
      </c>
      <c r="J33" s="607" t="s">
        <v>263</v>
      </c>
      <c r="K33" s="607" t="s">
        <v>263</v>
      </c>
      <c r="L33" s="607" t="s">
        <v>263</v>
      </c>
      <c r="M33" s="834">
        <v>536</v>
      </c>
      <c r="N33" s="834">
        <v>536</v>
      </c>
      <c r="O33" s="834">
        <v>536</v>
      </c>
      <c r="P33" s="803"/>
    </row>
    <row r="34" spans="1:17" ht="103.5" customHeight="1" x14ac:dyDescent="0.25">
      <c r="B34" s="607" t="s">
        <v>374</v>
      </c>
      <c r="C34" s="607" t="s">
        <v>172</v>
      </c>
      <c r="D34" s="605">
        <v>69111</v>
      </c>
      <c r="E34" s="605">
        <v>27300367</v>
      </c>
      <c r="F34" s="915" t="s">
        <v>1067</v>
      </c>
      <c r="G34" s="819" t="s">
        <v>686</v>
      </c>
      <c r="H34" s="605" t="s">
        <v>1256</v>
      </c>
      <c r="I34" s="821" t="s">
        <v>240</v>
      </c>
      <c r="J34" s="607" t="s">
        <v>263</v>
      </c>
      <c r="K34" s="607" t="s">
        <v>263</v>
      </c>
      <c r="L34" s="607" t="s">
        <v>263</v>
      </c>
      <c r="M34" s="834">
        <v>80</v>
      </c>
      <c r="N34" s="834">
        <v>80</v>
      </c>
      <c r="O34" s="834">
        <v>80</v>
      </c>
      <c r="P34" s="803"/>
    </row>
    <row r="35" spans="1:17" ht="37.5" customHeight="1" x14ac:dyDescent="0.25">
      <c r="B35" s="607" t="s">
        <v>374</v>
      </c>
      <c r="C35" s="607" t="s">
        <v>172</v>
      </c>
      <c r="D35" s="605">
        <v>69111</v>
      </c>
      <c r="E35" s="605" t="s">
        <v>923</v>
      </c>
      <c r="F35" s="819" t="s">
        <v>1077</v>
      </c>
      <c r="G35" s="819" t="s">
        <v>287</v>
      </c>
      <c r="H35" s="605" t="s">
        <v>1256</v>
      </c>
      <c r="I35" s="821" t="s">
        <v>240</v>
      </c>
      <c r="J35" s="605">
        <v>40</v>
      </c>
      <c r="K35" s="605">
        <v>40</v>
      </c>
      <c r="L35" s="605">
        <v>40</v>
      </c>
      <c r="M35" s="834">
        <v>951.01</v>
      </c>
      <c r="N35" s="834">
        <v>951.01</v>
      </c>
      <c r="O35" s="834">
        <v>951.01</v>
      </c>
      <c r="P35" s="803"/>
    </row>
    <row r="36" spans="1:17" ht="29.25" customHeight="1" x14ac:dyDescent="0.25">
      <c r="B36" s="1372" t="s">
        <v>374</v>
      </c>
      <c r="C36" s="1372" t="s">
        <v>172</v>
      </c>
      <c r="D36" s="1388">
        <v>69111</v>
      </c>
      <c r="E36" s="605" t="s">
        <v>285</v>
      </c>
      <c r="F36" s="1404" t="s">
        <v>200</v>
      </c>
      <c r="G36" s="819" t="s">
        <v>801</v>
      </c>
      <c r="H36" s="605" t="s">
        <v>1256</v>
      </c>
      <c r="I36" s="821" t="s">
        <v>240</v>
      </c>
      <c r="J36" s="605">
        <v>38</v>
      </c>
      <c r="K36" s="605">
        <v>38</v>
      </c>
      <c r="L36" s="605">
        <v>38</v>
      </c>
      <c r="M36" s="834">
        <v>41948.65</v>
      </c>
      <c r="N36" s="834">
        <v>41948.65</v>
      </c>
      <c r="O36" s="834">
        <v>41948.65</v>
      </c>
      <c r="P36" s="810"/>
    </row>
    <row r="37" spans="1:17" ht="35.25" customHeight="1" x14ac:dyDescent="0.25">
      <c r="B37" s="1373"/>
      <c r="C37" s="1373"/>
      <c r="D37" s="1388"/>
      <c r="E37" s="605"/>
      <c r="F37" s="1404"/>
      <c r="G37" s="819" t="s">
        <v>710</v>
      </c>
      <c r="H37" s="605" t="s">
        <v>1256</v>
      </c>
      <c r="I37" s="821" t="s">
        <v>240</v>
      </c>
      <c r="J37" s="605">
        <v>650</v>
      </c>
      <c r="K37" s="605">
        <v>650</v>
      </c>
      <c r="L37" s="605">
        <v>650</v>
      </c>
      <c r="M37" s="834">
        <v>5947.84</v>
      </c>
      <c r="N37" s="834">
        <v>5947.84</v>
      </c>
      <c r="O37" s="834">
        <v>5947.84</v>
      </c>
      <c r="P37" s="810"/>
      <c r="Q37" s="50"/>
    </row>
    <row r="38" spans="1:17" ht="51.75" customHeight="1" x14ac:dyDescent="0.25">
      <c r="B38" s="1377"/>
      <c r="C38" s="1377"/>
      <c r="D38" s="1388"/>
      <c r="E38" s="605"/>
      <c r="F38" s="1404"/>
      <c r="G38" s="819" t="s">
        <v>1107</v>
      </c>
      <c r="H38" s="605" t="s">
        <v>1259</v>
      </c>
      <c r="I38" s="821" t="s">
        <v>241</v>
      </c>
      <c r="J38" s="605">
        <v>30</v>
      </c>
      <c r="K38" s="605">
        <v>30</v>
      </c>
      <c r="L38" s="605">
        <v>30</v>
      </c>
      <c r="M38" s="834">
        <v>74.23</v>
      </c>
      <c r="N38" s="834">
        <v>74.23</v>
      </c>
      <c r="O38" s="834">
        <v>74.23</v>
      </c>
      <c r="P38" s="803"/>
    </row>
    <row r="39" spans="1:17" ht="40.5" customHeight="1" x14ac:dyDescent="0.25">
      <c r="B39" s="607" t="s">
        <v>374</v>
      </c>
      <c r="C39" s="607" t="s">
        <v>172</v>
      </c>
      <c r="D39" s="605">
        <v>69111</v>
      </c>
      <c r="E39" s="605" t="s">
        <v>285</v>
      </c>
      <c r="F39" s="819" t="s">
        <v>1080</v>
      </c>
      <c r="G39" s="819" t="s">
        <v>287</v>
      </c>
      <c r="H39" s="605" t="s">
        <v>1256</v>
      </c>
      <c r="I39" s="821" t="s">
        <v>240</v>
      </c>
      <c r="J39" s="605">
        <v>5</v>
      </c>
      <c r="K39" s="605">
        <v>5</v>
      </c>
      <c r="L39" s="605">
        <v>5</v>
      </c>
      <c r="M39" s="834">
        <v>412.5</v>
      </c>
      <c r="N39" s="834">
        <v>412.5</v>
      </c>
      <c r="O39" s="834">
        <v>412.5</v>
      </c>
      <c r="P39" s="803"/>
    </row>
    <row r="40" spans="1:17" ht="37.5" customHeight="1" x14ac:dyDescent="0.25">
      <c r="B40" s="607" t="s">
        <v>374</v>
      </c>
      <c r="C40" s="607" t="s">
        <v>172</v>
      </c>
      <c r="D40" s="605">
        <v>69111</v>
      </c>
      <c r="E40" s="605" t="s">
        <v>923</v>
      </c>
      <c r="F40" s="819" t="s">
        <v>1078</v>
      </c>
      <c r="G40" s="819" t="s">
        <v>287</v>
      </c>
      <c r="H40" s="605" t="s">
        <v>1256</v>
      </c>
      <c r="I40" s="821" t="s">
        <v>240</v>
      </c>
      <c r="J40" s="605">
        <v>2</v>
      </c>
      <c r="K40" s="605">
        <v>2</v>
      </c>
      <c r="L40" s="605">
        <v>2</v>
      </c>
      <c r="M40" s="834">
        <v>1318.16</v>
      </c>
      <c r="N40" s="834">
        <v>1318.16</v>
      </c>
      <c r="O40" s="834">
        <v>1318.16</v>
      </c>
      <c r="P40" s="810"/>
    </row>
    <row r="41" spans="1:17" ht="54" customHeight="1" x14ac:dyDescent="0.25">
      <c r="B41" s="607" t="s">
        <v>374</v>
      </c>
      <c r="C41" s="607" t="s">
        <v>172</v>
      </c>
      <c r="D41" s="605">
        <v>69111</v>
      </c>
      <c r="E41" s="605" t="s">
        <v>960</v>
      </c>
      <c r="F41" s="819" t="s">
        <v>1095</v>
      </c>
      <c r="G41" s="819" t="s">
        <v>1107</v>
      </c>
      <c r="H41" s="605" t="s">
        <v>1259</v>
      </c>
      <c r="I41" s="821" t="s">
        <v>241</v>
      </c>
      <c r="J41" s="605">
        <v>30</v>
      </c>
      <c r="K41" s="605">
        <v>30</v>
      </c>
      <c r="L41" s="605">
        <v>30</v>
      </c>
      <c r="M41" s="834">
        <v>74.23</v>
      </c>
      <c r="N41" s="834">
        <v>74.23</v>
      </c>
      <c r="O41" s="834">
        <v>74.23</v>
      </c>
      <c r="P41" s="803"/>
    </row>
    <row r="42" spans="1:17" ht="66.75" customHeight="1" x14ac:dyDescent="0.25">
      <c r="B42" s="607" t="s">
        <v>374</v>
      </c>
      <c r="C42" s="607" t="s">
        <v>172</v>
      </c>
      <c r="D42" s="605">
        <v>69111</v>
      </c>
      <c r="E42" s="605" t="s">
        <v>966</v>
      </c>
      <c r="F42" s="819" t="s">
        <v>1079</v>
      </c>
      <c r="G42" s="819" t="s">
        <v>1107</v>
      </c>
      <c r="H42" s="605" t="s">
        <v>1259</v>
      </c>
      <c r="I42" s="821" t="s">
        <v>241</v>
      </c>
      <c r="J42" s="605">
        <v>30</v>
      </c>
      <c r="K42" s="605">
        <v>30</v>
      </c>
      <c r="L42" s="605">
        <v>30</v>
      </c>
      <c r="M42" s="834">
        <v>74.23</v>
      </c>
      <c r="N42" s="834">
        <v>74.23</v>
      </c>
      <c r="O42" s="834">
        <v>74.23</v>
      </c>
      <c r="P42" s="803"/>
    </row>
    <row r="43" spans="1:17" ht="39" customHeight="1" x14ac:dyDescent="0.25">
      <c r="B43" s="607" t="s">
        <v>374</v>
      </c>
      <c r="C43" s="607" t="s">
        <v>172</v>
      </c>
      <c r="D43" s="605">
        <v>69111</v>
      </c>
      <c r="E43" s="605" t="s">
        <v>960</v>
      </c>
      <c r="F43" s="819" t="s">
        <v>635</v>
      </c>
      <c r="G43" s="819" t="s">
        <v>287</v>
      </c>
      <c r="H43" s="605" t="s">
        <v>1256</v>
      </c>
      <c r="I43" s="821" t="s">
        <v>240</v>
      </c>
      <c r="J43" s="607" t="s">
        <v>116</v>
      </c>
      <c r="K43" s="607" t="s">
        <v>116</v>
      </c>
      <c r="L43" s="607" t="s">
        <v>116</v>
      </c>
      <c r="M43" s="834">
        <v>0.13</v>
      </c>
      <c r="N43" s="834">
        <v>0.13</v>
      </c>
      <c r="O43" s="834">
        <v>0.13</v>
      </c>
      <c r="P43" s="803"/>
    </row>
    <row r="44" spans="1:17" ht="49.5" customHeight="1" x14ac:dyDescent="0.25">
      <c r="B44" s="836" t="s">
        <v>374</v>
      </c>
      <c r="C44" s="843" t="s">
        <v>172</v>
      </c>
      <c r="D44" s="837">
        <v>69121</v>
      </c>
      <c r="E44" s="837" t="s">
        <v>116</v>
      </c>
      <c r="F44" s="837" t="s">
        <v>116</v>
      </c>
      <c r="G44" s="838" t="s">
        <v>1153</v>
      </c>
      <c r="H44" s="837" t="s">
        <v>1155</v>
      </c>
      <c r="I44" s="844" t="s">
        <v>116</v>
      </c>
      <c r="J44" s="836" t="s">
        <v>263</v>
      </c>
      <c r="K44" s="836" t="s">
        <v>263</v>
      </c>
      <c r="L44" s="836" t="s">
        <v>263</v>
      </c>
      <c r="M44" s="839">
        <f>M45</f>
        <v>40892.449999999997</v>
      </c>
      <c r="N44" s="839">
        <f>N45</f>
        <v>33408.46</v>
      </c>
      <c r="O44" s="839">
        <f>O45</f>
        <v>33871.870000000003</v>
      </c>
      <c r="P44" s="631"/>
    </row>
    <row r="45" spans="1:17" ht="72.75" customHeight="1" x14ac:dyDescent="0.25">
      <c r="B45" s="607" t="s">
        <v>374</v>
      </c>
      <c r="C45" s="825" t="s">
        <v>172</v>
      </c>
      <c r="D45" s="605">
        <v>69121</v>
      </c>
      <c r="E45" s="605" t="s">
        <v>116</v>
      </c>
      <c r="F45" s="819" t="s">
        <v>1149</v>
      </c>
      <c r="G45" s="819" t="s">
        <v>1154</v>
      </c>
      <c r="H45" s="605" t="s">
        <v>1260</v>
      </c>
      <c r="I45" s="821" t="s">
        <v>116</v>
      </c>
      <c r="J45" s="607" t="s">
        <v>263</v>
      </c>
      <c r="K45" s="607" t="s">
        <v>263</v>
      </c>
      <c r="L45" s="607" t="s">
        <v>263</v>
      </c>
      <c r="M45" s="834">
        <v>40892.449999999997</v>
      </c>
      <c r="N45" s="834">
        <v>33408.46</v>
      </c>
      <c r="O45" s="834">
        <v>33871.870000000003</v>
      </c>
      <c r="P45" s="631"/>
    </row>
    <row r="46" spans="1:17" s="48" customFormat="1" ht="48" customHeight="1" x14ac:dyDescent="0.25">
      <c r="B46" s="836" t="s">
        <v>374</v>
      </c>
      <c r="C46" s="836" t="s">
        <v>172</v>
      </c>
      <c r="D46" s="844">
        <v>67731</v>
      </c>
      <c r="E46" s="837" t="s">
        <v>116</v>
      </c>
      <c r="F46" s="844" t="s">
        <v>116</v>
      </c>
      <c r="G46" s="838" t="s">
        <v>1059</v>
      </c>
      <c r="H46" s="837" t="s">
        <v>1280</v>
      </c>
      <c r="I46" s="844" t="s">
        <v>241</v>
      </c>
      <c r="J46" s="894">
        <f t="shared" ref="J46:O46" si="0">J47+J48</f>
        <v>1200</v>
      </c>
      <c r="K46" s="844">
        <f t="shared" si="0"/>
        <v>1200</v>
      </c>
      <c r="L46" s="844">
        <f t="shared" si="0"/>
        <v>1200</v>
      </c>
      <c r="M46" s="839">
        <f t="shared" si="0"/>
        <v>4800</v>
      </c>
      <c r="N46" s="839">
        <f t="shared" si="0"/>
        <v>4800</v>
      </c>
      <c r="O46" s="839">
        <f t="shared" si="0"/>
        <v>4800</v>
      </c>
      <c r="P46" s="631"/>
    </row>
    <row r="47" spans="1:17" s="48" customFormat="1" ht="61.5" customHeight="1" x14ac:dyDescent="0.25">
      <c r="B47" s="607" t="s">
        <v>374</v>
      </c>
      <c r="C47" s="607" t="s">
        <v>172</v>
      </c>
      <c r="D47" s="605">
        <v>67731</v>
      </c>
      <c r="E47" s="605">
        <v>60301</v>
      </c>
      <c r="F47" s="605" t="s">
        <v>192</v>
      </c>
      <c r="G47" s="819" t="s">
        <v>1059</v>
      </c>
      <c r="H47" s="605" t="s">
        <v>1282</v>
      </c>
      <c r="I47" s="605" t="s">
        <v>241</v>
      </c>
      <c r="J47" s="605">
        <v>300</v>
      </c>
      <c r="K47" s="605">
        <v>300</v>
      </c>
      <c r="L47" s="605">
        <v>300</v>
      </c>
      <c r="M47" s="834">
        <v>1200</v>
      </c>
      <c r="N47" s="834">
        <v>1200</v>
      </c>
      <c r="O47" s="834">
        <v>1200</v>
      </c>
      <c r="P47" s="631"/>
    </row>
    <row r="48" spans="1:17" s="48" customFormat="1" ht="53.25" customHeight="1" x14ac:dyDescent="0.25">
      <c r="B48" s="607" t="s">
        <v>374</v>
      </c>
      <c r="C48" s="607" t="s">
        <v>172</v>
      </c>
      <c r="D48" s="605">
        <v>67731</v>
      </c>
      <c r="E48" s="605"/>
      <c r="F48" s="605" t="s">
        <v>192</v>
      </c>
      <c r="G48" s="819" t="s">
        <v>1059</v>
      </c>
      <c r="H48" s="605" t="s">
        <v>1281</v>
      </c>
      <c r="I48" s="605" t="s">
        <v>241</v>
      </c>
      <c r="J48" s="605">
        <v>900</v>
      </c>
      <c r="K48" s="605">
        <v>900</v>
      </c>
      <c r="L48" s="605">
        <v>900</v>
      </c>
      <c r="M48" s="834">
        <v>3600</v>
      </c>
      <c r="N48" s="834">
        <v>3600</v>
      </c>
      <c r="O48" s="834">
        <v>3600</v>
      </c>
      <c r="P48" s="631"/>
    </row>
    <row r="49" spans="2:16" ht="40.5" customHeight="1" x14ac:dyDescent="0.25">
      <c r="B49" s="836" t="s">
        <v>374</v>
      </c>
      <c r="C49" s="843" t="s">
        <v>172</v>
      </c>
      <c r="D49" s="844">
        <v>66539</v>
      </c>
      <c r="E49" s="837" t="s">
        <v>116</v>
      </c>
      <c r="F49" s="844" t="s">
        <v>116</v>
      </c>
      <c r="G49" s="838" t="s">
        <v>1058</v>
      </c>
      <c r="H49" s="837" t="s">
        <v>456</v>
      </c>
      <c r="I49" s="844" t="s">
        <v>241</v>
      </c>
      <c r="J49" s="894">
        <f t="shared" ref="J49:O49" si="1">J50+J51</f>
        <v>157</v>
      </c>
      <c r="K49" s="844">
        <f t="shared" si="1"/>
        <v>157</v>
      </c>
      <c r="L49" s="844">
        <f t="shared" si="1"/>
        <v>157</v>
      </c>
      <c r="M49" s="839">
        <f t="shared" si="1"/>
        <v>3156</v>
      </c>
      <c r="N49" s="839">
        <f t="shared" si="1"/>
        <v>3156</v>
      </c>
      <c r="O49" s="839">
        <f t="shared" si="1"/>
        <v>3156</v>
      </c>
      <c r="P49" s="803"/>
    </row>
    <row r="50" spans="2:16" ht="96" customHeight="1" x14ac:dyDescent="0.25">
      <c r="B50" s="607" t="s">
        <v>374</v>
      </c>
      <c r="C50" s="825" t="s">
        <v>172</v>
      </c>
      <c r="D50" s="605">
        <v>66539</v>
      </c>
      <c r="E50" s="605">
        <v>10108</v>
      </c>
      <c r="F50" s="605" t="s">
        <v>192</v>
      </c>
      <c r="G50" s="819" t="s">
        <v>376</v>
      </c>
      <c r="H50" s="605" t="s">
        <v>1261</v>
      </c>
      <c r="I50" s="605" t="s">
        <v>241</v>
      </c>
      <c r="J50" s="605">
        <v>90</v>
      </c>
      <c r="K50" s="605">
        <v>90</v>
      </c>
      <c r="L50" s="605">
        <v>90</v>
      </c>
      <c r="M50" s="834">
        <v>1950</v>
      </c>
      <c r="N50" s="834">
        <v>1950</v>
      </c>
      <c r="O50" s="834">
        <v>1950</v>
      </c>
      <c r="P50" s="803"/>
    </row>
    <row r="51" spans="2:16" ht="87.75" customHeight="1" x14ac:dyDescent="0.25">
      <c r="B51" s="607" t="s">
        <v>374</v>
      </c>
      <c r="C51" s="607" t="s">
        <v>172</v>
      </c>
      <c r="D51" s="605">
        <v>66539</v>
      </c>
      <c r="E51" s="605">
        <v>10108</v>
      </c>
      <c r="F51" s="605" t="s">
        <v>192</v>
      </c>
      <c r="G51" s="819" t="s">
        <v>375</v>
      </c>
      <c r="H51" s="605" t="s">
        <v>1262</v>
      </c>
      <c r="I51" s="605" t="s">
        <v>241</v>
      </c>
      <c r="J51" s="605">
        <v>67</v>
      </c>
      <c r="K51" s="605">
        <v>67</v>
      </c>
      <c r="L51" s="605">
        <v>67</v>
      </c>
      <c r="M51" s="834">
        <v>1206</v>
      </c>
      <c r="N51" s="834">
        <v>1206</v>
      </c>
      <c r="O51" s="834">
        <v>1206</v>
      </c>
      <c r="P51" s="803"/>
    </row>
    <row r="52" spans="2:16" ht="42" customHeight="1" x14ac:dyDescent="0.25">
      <c r="B52" s="836" t="s">
        <v>374</v>
      </c>
      <c r="C52" s="836" t="s">
        <v>172</v>
      </c>
      <c r="D52" s="844">
        <v>66442</v>
      </c>
      <c r="E52" s="837" t="s">
        <v>116</v>
      </c>
      <c r="F52" s="844" t="s">
        <v>116</v>
      </c>
      <c r="G52" s="838" t="s">
        <v>297</v>
      </c>
      <c r="H52" s="837" t="s">
        <v>455</v>
      </c>
      <c r="I52" s="844" t="s">
        <v>240</v>
      </c>
      <c r="J52" s="894">
        <f t="shared" ref="J52:O52" si="2">J53+J54+J55</f>
        <v>17</v>
      </c>
      <c r="K52" s="894">
        <f t="shared" si="2"/>
        <v>17</v>
      </c>
      <c r="L52" s="894">
        <f t="shared" si="2"/>
        <v>17</v>
      </c>
      <c r="M52" s="888">
        <f t="shared" si="2"/>
        <v>1150</v>
      </c>
      <c r="N52" s="888">
        <f t="shared" si="2"/>
        <v>1150</v>
      </c>
      <c r="O52" s="888">
        <f t="shared" si="2"/>
        <v>1150</v>
      </c>
      <c r="P52" s="803"/>
    </row>
    <row r="53" spans="2:16" ht="73.5" customHeight="1" x14ac:dyDescent="0.25">
      <c r="B53" s="607" t="s">
        <v>374</v>
      </c>
      <c r="C53" s="607" t="s">
        <v>172</v>
      </c>
      <c r="D53" s="605">
        <v>66442</v>
      </c>
      <c r="E53" s="605"/>
      <c r="F53" s="605" t="s">
        <v>192</v>
      </c>
      <c r="G53" s="873" t="s">
        <v>1184</v>
      </c>
      <c r="H53" s="605" t="s">
        <v>1263</v>
      </c>
      <c r="I53" s="605" t="s">
        <v>240</v>
      </c>
      <c r="J53" s="605">
        <v>5</v>
      </c>
      <c r="K53" s="605">
        <v>5</v>
      </c>
      <c r="L53" s="605">
        <v>5</v>
      </c>
      <c r="M53" s="834">
        <v>150</v>
      </c>
      <c r="N53" s="834">
        <v>150</v>
      </c>
      <c r="O53" s="834">
        <v>150</v>
      </c>
      <c r="P53" s="803"/>
    </row>
    <row r="54" spans="2:16" ht="75.75" customHeight="1" x14ac:dyDescent="0.25">
      <c r="B54" s="607" t="s">
        <v>374</v>
      </c>
      <c r="C54" s="607" t="s">
        <v>172</v>
      </c>
      <c r="D54" s="605">
        <v>66442</v>
      </c>
      <c r="E54" s="605">
        <v>27300364</v>
      </c>
      <c r="F54" s="605" t="s">
        <v>192</v>
      </c>
      <c r="G54" s="873" t="s">
        <v>1185</v>
      </c>
      <c r="H54" s="605" t="s">
        <v>1264</v>
      </c>
      <c r="I54" s="605" t="s">
        <v>240</v>
      </c>
      <c r="J54" s="605">
        <v>4</v>
      </c>
      <c r="K54" s="605">
        <v>4</v>
      </c>
      <c r="L54" s="605">
        <v>4</v>
      </c>
      <c r="M54" s="834">
        <v>200</v>
      </c>
      <c r="N54" s="834">
        <v>200</v>
      </c>
      <c r="O54" s="834">
        <v>200</v>
      </c>
      <c r="P54" s="803"/>
    </row>
    <row r="55" spans="2:16" ht="52.5" customHeight="1" x14ac:dyDescent="0.25">
      <c r="B55" s="607" t="s">
        <v>374</v>
      </c>
      <c r="C55" s="607" t="s">
        <v>172</v>
      </c>
      <c r="D55" s="605">
        <v>66442</v>
      </c>
      <c r="E55" s="605">
        <v>27300364</v>
      </c>
      <c r="F55" s="605" t="s">
        <v>192</v>
      </c>
      <c r="G55" s="873" t="s">
        <v>1283</v>
      </c>
      <c r="H55" s="605" t="s">
        <v>1264</v>
      </c>
      <c r="I55" s="605" t="s">
        <v>240</v>
      </c>
      <c r="J55" s="605">
        <v>8</v>
      </c>
      <c r="K55" s="605">
        <v>8</v>
      </c>
      <c r="L55" s="605">
        <v>8</v>
      </c>
      <c r="M55" s="834">
        <v>800</v>
      </c>
      <c r="N55" s="834">
        <v>800</v>
      </c>
      <c r="O55" s="834">
        <v>800</v>
      </c>
      <c r="P55" s="803"/>
    </row>
    <row r="56" spans="2:16" s="48" customFormat="1" x14ac:dyDescent="0.25">
      <c r="B56" s="798"/>
      <c r="C56" s="684"/>
      <c r="D56" s="673"/>
      <c r="E56" s="673"/>
      <c r="F56" s="673"/>
      <c r="G56" s="800"/>
      <c r="H56" s="673"/>
      <c r="I56" s="673"/>
      <c r="J56" s="673"/>
      <c r="K56" s="673"/>
      <c r="L56" s="673"/>
      <c r="M56" s="690"/>
      <c r="N56" s="690"/>
      <c r="O56" s="690"/>
      <c r="P56" s="631"/>
    </row>
    <row r="57" spans="2:16" s="48" customFormat="1" ht="15.75" customHeight="1" x14ac:dyDescent="0.25">
      <c r="B57" s="1362" t="s">
        <v>1279</v>
      </c>
      <c r="C57" s="1362"/>
      <c r="D57" s="1362"/>
      <c r="E57" s="1362"/>
      <c r="F57" s="1362"/>
      <c r="G57" s="1362"/>
      <c r="H57" s="1362"/>
      <c r="I57" s="673"/>
      <c r="J57" s="673"/>
      <c r="K57" s="673"/>
      <c r="L57" s="673"/>
      <c r="M57" s="690"/>
      <c r="N57" s="690"/>
      <c r="O57" s="690"/>
      <c r="P57" s="631"/>
    </row>
    <row r="58" spans="2:16" s="48" customFormat="1" x14ac:dyDescent="0.25">
      <c r="B58" s="37"/>
      <c r="E58" s="802"/>
      <c r="F58" s="891"/>
      <c r="G58" s="800"/>
      <c r="H58" s="673"/>
      <c r="I58" s="673"/>
      <c r="J58" s="673"/>
      <c r="K58" s="673"/>
      <c r="L58" s="673"/>
      <c r="M58" s="690"/>
      <c r="N58" s="690"/>
      <c r="O58" s="690"/>
      <c r="P58" s="631"/>
    </row>
    <row r="59" spans="2:16" s="48" customFormat="1" ht="15.75" customHeight="1" x14ac:dyDescent="0.25">
      <c r="B59" s="890" t="s">
        <v>748</v>
      </c>
      <c r="C59" s="1363" t="s">
        <v>1277</v>
      </c>
      <c r="D59" s="1363"/>
      <c r="E59" s="1363"/>
      <c r="F59" s="1363"/>
      <c r="G59" s="800"/>
      <c r="H59" s="673"/>
      <c r="I59" s="673"/>
      <c r="J59" s="673"/>
      <c r="K59" s="673"/>
      <c r="L59" s="673"/>
      <c r="M59" s="690"/>
      <c r="N59" s="690"/>
      <c r="O59" s="690"/>
      <c r="P59" s="631"/>
    </row>
    <row r="60" spans="2:16" s="48" customFormat="1" ht="15.75" customHeight="1" x14ac:dyDescent="0.25">
      <c r="B60" s="890"/>
      <c r="C60" s="1363" t="s">
        <v>1278</v>
      </c>
      <c r="D60" s="1363"/>
      <c r="E60" s="802"/>
      <c r="F60" s="891"/>
      <c r="G60" s="800"/>
      <c r="H60" s="673"/>
      <c r="I60" s="673"/>
      <c r="J60" s="673"/>
      <c r="K60" s="673"/>
      <c r="L60" s="673"/>
      <c r="M60" s="690"/>
      <c r="N60" s="690"/>
      <c r="O60" s="690"/>
      <c r="P60" s="631"/>
    </row>
    <row r="61" spans="2:16" s="48" customFormat="1" x14ac:dyDescent="0.25">
      <c r="B61" s="798"/>
      <c r="C61" s="684"/>
      <c r="D61" s="673"/>
      <c r="E61" s="673"/>
      <c r="F61" s="673"/>
      <c r="G61" s="800"/>
      <c r="H61" s="673"/>
      <c r="I61" s="673"/>
      <c r="J61" s="673"/>
      <c r="K61" s="673"/>
      <c r="L61" s="673"/>
      <c r="M61" s="690"/>
      <c r="N61" s="690"/>
      <c r="O61" s="690"/>
      <c r="P61" s="631"/>
    </row>
    <row r="62" spans="2:16" s="48" customFormat="1" x14ac:dyDescent="0.25">
      <c r="B62" s="798"/>
      <c r="C62" s="684"/>
      <c r="D62" s="673"/>
      <c r="E62" s="673"/>
      <c r="F62" s="673"/>
      <c r="G62" s="800"/>
      <c r="H62" s="673"/>
      <c r="I62" s="673"/>
      <c r="J62" s="673"/>
      <c r="K62" s="673"/>
      <c r="L62" s="673"/>
      <c r="M62" s="690"/>
      <c r="N62" s="690"/>
      <c r="O62" s="690"/>
      <c r="P62" s="631"/>
    </row>
    <row r="63" spans="2:16" s="48" customFormat="1" x14ac:dyDescent="0.25">
      <c r="B63" s="798"/>
      <c r="C63" s="684"/>
      <c r="D63" s="673"/>
      <c r="E63" s="673"/>
      <c r="F63" s="673"/>
      <c r="G63" s="800"/>
      <c r="H63" s="673"/>
      <c r="I63" s="673"/>
      <c r="J63" s="673"/>
      <c r="K63" s="673"/>
      <c r="L63" s="673"/>
      <c r="M63" s="690"/>
      <c r="N63" s="690"/>
      <c r="O63" s="690"/>
      <c r="P63" s="631"/>
    </row>
    <row r="64" spans="2:16" s="48" customFormat="1" ht="16.5" customHeight="1" x14ac:dyDescent="0.25">
      <c r="B64" s="1386"/>
      <c r="C64" s="1300"/>
      <c r="D64" s="1243"/>
      <c r="E64" s="673"/>
      <c r="F64" s="1243"/>
      <c r="G64" s="1197"/>
      <c r="H64" s="1230"/>
      <c r="I64" s="1243"/>
      <c r="J64" s="1243"/>
      <c r="K64" s="1243"/>
      <c r="L64" s="1243"/>
      <c r="M64" s="690"/>
      <c r="N64" s="690"/>
      <c r="O64" s="690"/>
    </row>
    <row r="65" spans="2:15" s="48" customFormat="1" ht="16.5" customHeight="1" x14ac:dyDescent="0.25">
      <c r="B65" s="1386"/>
      <c r="C65" s="1300"/>
      <c r="D65" s="1243"/>
      <c r="E65" s="673"/>
      <c r="F65" s="1243"/>
      <c r="G65" s="1197"/>
      <c r="H65" s="1230"/>
      <c r="I65" s="1243"/>
      <c r="J65" s="1243"/>
      <c r="K65" s="1243"/>
      <c r="L65" s="1243"/>
      <c r="M65" s="690"/>
      <c r="N65" s="690"/>
      <c r="O65" s="690"/>
    </row>
    <row r="66" spans="2:15" s="48" customFormat="1" x14ac:dyDescent="0.25">
      <c r="B66" s="1386"/>
      <c r="C66" s="1300"/>
      <c r="D66" s="1243"/>
      <c r="E66" s="673"/>
      <c r="F66" s="1243"/>
      <c r="G66" s="1197"/>
      <c r="H66" s="1230"/>
      <c r="I66" s="1243"/>
      <c r="J66" s="1243"/>
      <c r="K66" s="1243"/>
      <c r="L66" s="1243"/>
      <c r="M66" s="690"/>
      <c r="N66" s="690"/>
      <c r="O66" s="690"/>
    </row>
    <row r="67" spans="2:15" s="48" customFormat="1" x14ac:dyDescent="0.25">
      <c r="B67" s="1386"/>
      <c r="C67" s="1300"/>
      <c r="D67" s="1243"/>
      <c r="E67" s="673"/>
      <c r="F67" s="1243"/>
      <c r="G67" s="1197"/>
      <c r="H67" s="1230"/>
      <c r="I67" s="1243"/>
      <c r="J67" s="1243"/>
      <c r="K67" s="1243"/>
      <c r="L67" s="1243"/>
      <c r="M67" s="690"/>
      <c r="N67" s="690"/>
      <c r="O67" s="690"/>
    </row>
    <row r="68" spans="2:15" s="48" customFormat="1" ht="16.5" customHeight="1" x14ac:dyDescent="0.25">
      <c r="B68" s="1386"/>
      <c r="C68" s="1300"/>
      <c r="D68" s="1230"/>
      <c r="E68" s="673"/>
      <c r="F68" s="1230"/>
      <c r="G68" s="1197"/>
      <c r="H68" s="1230"/>
      <c r="I68" s="1230"/>
      <c r="J68" s="1230"/>
      <c r="K68" s="1230"/>
      <c r="L68" s="1230"/>
      <c r="M68" s="690"/>
      <c r="N68" s="690"/>
      <c r="O68" s="690"/>
    </row>
    <row r="69" spans="2:15" s="48" customFormat="1" x14ac:dyDescent="0.25">
      <c r="B69" s="1386"/>
      <c r="C69" s="1300"/>
      <c r="D69" s="1230"/>
      <c r="E69" s="673"/>
      <c r="F69" s="1230"/>
      <c r="G69" s="1197"/>
      <c r="H69" s="1230"/>
      <c r="I69" s="1230"/>
      <c r="J69" s="1230"/>
      <c r="K69" s="1230"/>
      <c r="L69" s="1230"/>
      <c r="M69" s="690"/>
      <c r="N69" s="690"/>
      <c r="O69" s="690"/>
    </row>
    <row r="70" spans="2:15" s="48" customFormat="1" x14ac:dyDescent="0.25">
      <c r="B70" s="1386"/>
      <c r="C70" s="1300"/>
      <c r="D70" s="1230"/>
      <c r="E70" s="673"/>
      <c r="F70" s="1230"/>
      <c r="G70" s="1197"/>
      <c r="H70" s="1230"/>
      <c r="I70" s="1230"/>
      <c r="J70" s="1230"/>
      <c r="K70" s="1230"/>
      <c r="L70" s="1230"/>
      <c r="M70" s="690"/>
      <c r="N70" s="690"/>
      <c r="O70" s="690"/>
    </row>
    <row r="71" spans="2:15" s="48" customFormat="1" x14ac:dyDescent="0.25">
      <c r="B71" s="1386"/>
      <c r="C71" s="1300"/>
      <c r="D71" s="1230"/>
      <c r="E71" s="673"/>
      <c r="F71" s="1230"/>
      <c r="G71" s="1197"/>
      <c r="H71" s="1230"/>
      <c r="I71" s="1230"/>
      <c r="J71" s="1230"/>
      <c r="K71" s="1230"/>
      <c r="L71" s="1230"/>
      <c r="M71" s="690"/>
      <c r="N71" s="690"/>
      <c r="O71" s="690"/>
    </row>
    <row r="72" spans="2:15" s="48" customFormat="1" x14ac:dyDescent="0.25">
      <c r="B72" s="1386"/>
      <c r="C72" s="1300"/>
      <c r="D72" s="1230"/>
      <c r="E72" s="673"/>
      <c r="F72" s="1230"/>
      <c r="G72" s="1197"/>
      <c r="H72" s="1230"/>
      <c r="I72" s="1230"/>
      <c r="J72" s="1230"/>
      <c r="K72" s="1230"/>
      <c r="L72" s="1230"/>
      <c r="M72" s="690"/>
      <c r="N72" s="690"/>
      <c r="O72" s="690"/>
    </row>
    <row r="73" spans="2:15" s="48" customFormat="1" x14ac:dyDescent="0.25">
      <c r="B73" s="1386"/>
      <c r="C73" s="1300"/>
      <c r="D73" s="1230"/>
      <c r="E73" s="673"/>
      <c r="F73" s="1230"/>
      <c r="G73" s="1197"/>
      <c r="H73" s="1230"/>
      <c r="I73" s="1230"/>
      <c r="J73" s="1230"/>
      <c r="K73" s="1230"/>
      <c r="L73" s="1230"/>
      <c r="M73" s="690"/>
      <c r="N73" s="690"/>
      <c r="O73" s="690"/>
    </row>
    <row r="74" spans="2:15" s="48" customFormat="1" x14ac:dyDescent="0.25">
      <c r="B74" s="1386"/>
      <c r="C74" s="1300"/>
      <c r="D74" s="1230"/>
      <c r="E74" s="673"/>
      <c r="F74" s="1230"/>
      <c r="G74" s="1197"/>
      <c r="H74" s="1230"/>
      <c r="I74" s="1230"/>
      <c r="J74" s="1230"/>
      <c r="K74" s="1230"/>
      <c r="L74" s="1230"/>
      <c r="M74" s="690"/>
      <c r="N74" s="690"/>
      <c r="O74" s="690"/>
    </row>
    <row r="75" spans="2:15" s="48" customFormat="1" x14ac:dyDescent="0.25">
      <c r="B75" s="1386"/>
      <c r="C75" s="1300"/>
      <c r="D75" s="1230"/>
      <c r="E75" s="673"/>
      <c r="F75" s="1230"/>
      <c r="G75" s="1197"/>
      <c r="H75" s="1230"/>
      <c r="I75" s="1230"/>
      <c r="J75" s="1230"/>
      <c r="K75" s="1230"/>
      <c r="L75" s="1230"/>
      <c r="M75" s="690"/>
      <c r="N75" s="690"/>
      <c r="O75" s="690"/>
    </row>
    <row r="76" spans="2:15" s="48" customFormat="1" x14ac:dyDescent="0.25">
      <c r="B76" s="1386"/>
      <c r="C76" s="1300"/>
      <c r="D76" s="1230"/>
      <c r="E76" s="673"/>
      <c r="F76" s="1230"/>
      <c r="G76" s="1197"/>
      <c r="H76" s="1230"/>
      <c r="I76" s="1230"/>
      <c r="J76" s="1230"/>
      <c r="K76" s="1230"/>
      <c r="L76" s="1230"/>
      <c r="M76" s="690"/>
      <c r="N76" s="690"/>
      <c r="O76" s="690"/>
    </row>
    <row r="77" spans="2:15" s="48" customFormat="1" x14ac:dyDescent="0.25">
      <c r="B77" s="1386"/>
      <c r="C77" s="1300"/>
      <c r="D77" s="1230"/>
      <c r="E77" s="673"/>
      <c r="F77" s="1230"/>
      <c r="G77" s="1197"/>
      <c r="H77" s="1230"/>
      <c r="I77" s="1230"/>
      <c r="J77" s="1230"/>
      <c r="K77" s="1230"/>
      <c r="L77" s="1230"/>
      <c r="M77" s="690"/>
      <c r="N77" s="690"/>
      <c r="O77" s="690"/>
    </row>
    <row r="78" spans="2:15" s="48" customFormat="1" x14ac:dyDescent="0.25">
      <c r="B78" s="1386"/>
      <c r="C78" s="1300"/>
      <c r="D78" s="1230"/>
      <c r="E78" s="673"/>
      <c r="F78" s="1230"/>
      <c r="G78" s="1197"/>
      <c r="H78" s="1230"/>
      <c r="I78" s="1230"/>
      <c r="J78" s="1230"/>
      <c r="K78" s="1230"/>
      <c r="L78" s="1230"/>
      <c r="M78" s="690"/>
      <c r="N78" s="690"/>
      <c r="O78" s="690"/>
    </row>
    <row r="79" spans="2:15" s="48" customFormat="1" x14ac:dyDescent="0.25">
      <c r="B79" s="1386"/>
      <c r="C79" s="1300"/>
      <c r="D79" s="1230"/>
      <c r="E79" s="673"/>
      <c r="F79" s="1230"/>
      <c r="G79" s="1197"/>
      <c r="H79" s="1230"/>
      <c r="I79" s="1230"/>
      <c r="J79" s="1230"/>
      <c r="K79" s="1230"/>
      <c r="L79" s="1230"/>
      <c r="M79" s="690"/>
      <c r="N79" s="690"/>
      <c r="O79" s="690"/>
    </row>
    <row r="80" spans="2:15" s="48" customFormat="1" x14ac:dyDescent="0.25">
      <c r="B80" s="1386"/>
      <c r="C80" s="1300"/>
      <c r="D80" s="1230"/>
      <c r="E80" s="673"/>
      <c r="F80" s="1230"/>
      <c r="G80" s="1197"/>
      <c r="H80" s="1230"/>
      <c r="I80" s="1230"/>
      <c r="J80" s="1230"/>
      <c r="K80" s="1230"/>
      <c r="L80" s="1230"/>
      <c r="M80" s="690"/>
      <c r="N80" s="690"/>
      <c r="O80" s="690"/>
    </row>
    <row r="81" spans="2:15" s="48" customFormat="1" x14ac:dyDescent="0.25">
      <c r="B81" s="1386"/>
      <c r="C81" s="1300"/>
      <c r="D81" s="1230"/>
      <c r="E81" s="673"/>
      <c r="F81" s="1230"/>
      <c r="G81" s="1197"/>
      <c r="H81" s="1230"/>
      <c r="I81" s="1230"/>
      <c r="J81" s="1230"/>
      <c r="K81" s="1230"/>
      <c r="L81" s="1230"/>
      <c r="M81" s="690"/>
      <c r="N81" s="690"/>
      <c r="O81" s="690"/>
    </row>
    <row r="82" spans="2:15" s="48" customFormat="1" x14ac:dyDescent="0.25">
      <c r="B82" s="1386"/>
      <c r="C82" s="1300"/>
      <c r="D82" s="1230"/>
      <c r="E82" s="673"/>
      <c r="F82" s="1230"/>
      <c r="G82" s="1197"/>
      <c r="H82" s="1230"/>
      <c r="I82" s="1230"/>
      <c r="J82" s="1230"/>
      <c r="K82" s="1230"/>
      <c r="L82" s="1230"/>
      <c r="M82" s="690"/>
      <c r="N82" s="690"/>
      <c r="O82" s="690"/>
    </row>
    <row r="83" spans="2:15" s="48" customFormat="1" x14ac:dyDescent="0.25">
      <c r="B83" s="1386"/>
      <c r="C83" s="1300"/>
      <c r="D83" s="1230"/>
      <c r="E83" s="673"/>
      <c r="F83" s="1230"/>
      <c r="G83" s="1197"/>
      <c r="H83" s="1230"/>
      <c r="I83" s="1230"/>
      <c r="J83" s="1230"/>
      <c r="K83" s="1230"/>
      <c r="L83" s="1230"/>
      <c r="M83" s="690"/>
      <c r="N83" s="690"/>
      <c r="O83" s="690"/>
    </row>
    <row r="84" spans="2:15" s="48" customFormat="1" x14ac:dyDescent="0.25">
      <c r="B84" s="1386"/>
      <c r="C84" s="1300"/>
      <c r="D84" s="1243"/>
      <c r="E84" s="673"/>
      <c r="F84" s="1243"/>
      <c r="G84" s="1197"/>
      <c r="H84" s="1230"/>
      <c r="I84" s="1243"/>
      <c r="J84" s="1300"/>
      <c r="K84" s="1300"/>
      <c r="L84" s="1300"/>
      <c r="M84" s="690"/>
      <c r="N84" s="690"/>
      <c r="O84" s="690"/>
    </row>
    <row r="85" spans="2:15" s="48" customFormat="1" x14ac:dyDescent="0.25">
      <c r="B85" s="1386"/>
      <c r="C85" s="1300"/>
      <c r="D85" s="1243"/>
      <c r="E85" s="673"/>
      <c r="F85" s="1243"/>
      <c r="G85" s="1197"/>
      <c r="H85" s="1230"/>
      <c r="I85" s="1243"/>
      <c r="J85" s="1300"/>
      <c r="K85" s="1300"/>
      <c r="L85" s="1300"/>
      <c r="M85" s="690"/>
      <c r="N85" s="690"/>
      <c r="O85" s="690"/>
    </row>
    <row r="86" spans="2:15" s="48" customFormat="1" x14ac:dyDescent="0.25">
      <c r="B86" s="1386"/>
      <c r="C86" s="1300"/>
      <c r="D86" s="1243"/>
      <c r="E86" s="673"/>
      <c r="F86" s="1243"/>
      <c r="G86" s="1197"/>
      <c r="H86" s="1230"/>
      <c r="I86" s="1243"/>
      <c r="J86" s="1300"/>
      <c r="K86" s="1300"/>
      <c r="L86" s="1300"/>
      <c r="M86" s="690"/>
      <c r="N86" s="690"/>
      <c r="O86" s="690"/>
    </row>
    <row r="87" spans="2:15" s="48" customFormat="1" x14ac:dyDescent="0.25">
      <c r="B87" s="1386"/>
      <c r="C87" s="1300"/>
      <c r="D87" s="1243"/>
      <c r="E87" s="673"/>
      <c r="F87" s="1243"/>
      <c r="G87" s="1197"/>
      <c r="H87" s="1230"/>
      <c r="I87" s="1243"/>
      <c r="J87" s="1300"/>
      <c r="K87" s="1300"/>
      <c r="L87" s="1300"/>
      <c r="M87" s="690"/>
      <c r="N87" s="690"/>
      <c r="O87" s="690"/>
    </row>
    <row r="88" spans="2:15" s="48" customFormat="1" x14ac:dyDescent="0.25">
      <c r="B88" s="1386"/>
      <c r="C88" s="1300"/>
      <c r="D88" s="1230"/>
      <c r="E88" s="1230"/>
      <c r="F88" s="1197"/>
      <c r="G88" s="1197"/>
      <c r="H88" s="1230"/>
      <c r="I88" s="1230"/>
      <c r="J88" s="1230"/>
      <c r="K88" s="1230"/>
      <c r="L88" s="1230"/>
      <c r="M88" s="690"/>
      <c r="N88" s="690"/>
      <c r="O88" s="690"/>
    </row>
    <row r="89" spans="2:15" s="48" customFormat="1" x14ac:dyDescent="0.25">
      <c r="B89" s="1386"/>
      <c r="C89" s="1300"/>
      <c r="D89" s="1230"/>
      <c r="E89" s="1230"/>
      <c r="F89" s="1197"/>
      <c r="G89" s="1197"/>
      <c r="H89" s="1230"/>
      <c r="I89" s="1230"/>
      <c r="J89" s="1230"/>
      <c r="K89" s="1230"/>
      <c r="L89" s="1230"/>
      <c r="M89" s="690"/>
      <c r="N89" s="690"/>
      <c r="O89" s="690"/>
    </row>
    <row r="90" spans="2:15" s="48" customFormat="1" x14ac:dyDescent="0.25">
      <c r="B90" s="1386"/>
      <c r="C90" s="1300"/>
      <c r="D90" s="1230"/>
      <c r="E90" s="1230"/>
      <c r="F90" s="1197"/>
      <c r="G90" s="1197"/>
      <c r="H90" s="1230"/>
      <c r="I90" s="1230"/>
      <c r="J90" s="1230"/>
      <c r="K90" s="1230"/>
      <c r="L90" s="1230"/>
      <c r="M90" s="690"/>
      <c r="N90" s="690"/>
      <c r="O90" s="690"/>
    </row>
    <row r="91" spans="2:15" s="48" customFormat="1" x14ac:dyDescent="0.25">
      <c r="B91" s="1386"/>
      <c r="C91" s="1300"/>
      <c r="D91" s="1230"/>
      <c r="E91" s="673"/>
      <c r="F91" s="1197"/>
      <c r="G91" s="1197"/>
      <c r="H91" s="1230"/>
      <c r="I91" s="1230"/>
      <c r="J91" s="1230"/>
      <c r="K91" s="1230"/>
      <c r="L91" s="1230"/>
      <c r="M91" s="690"/>
      <c r="N91" s="690"/>
      <c r="O91" s="690"/>
    </row>
    <row r="92" spans="2:15" s="48" customFormat="1" x14ac:dyDescent="0.25">
      <c r="B92" s="1386"/>
      <c r="C92" s="1300"/>
      <c r="D92" s="1230"/>
      <c r="E92" s="1230"/>
      <c r="F92" s="1230"/>
      <c r="G92" s="1197"/>
      <c r="H92" s="1230"/>
      <c r="I92" s="1230"/>
      <c r="J92" s="1230"/>
      <c r="K92" s="1230"/>
      <c r="L92" s="1230"/>
      <c r="M92" s="690"/>
      <c r="N92" s="690"/>
      <c r="O92" s="690"/>
    </row>
    <row r="93" spans="2:15" s="48" customFormat="1" x14ac:dyDescent="0.25">
      <c r="B93" s="1386"/>
      <c r="C93" s="1300"/>
      <c r="D93" s="1230"/>
      <c r="E93" s="1230"/>
      <c r="F93" s="1230"/>
      <c r="G93" s="1197"/>
      <c r="H93" s="1230"/>
      <c r="I93" s="1230"/>
      <c r="J93" s="1230"/>
      <c r="K93" s="1230"/>
      <c r="L93" s="1230"/>
      <c r="M93" s="690"/>
      <c r="N93" s="690"/>
      <c r="O93" s="690"/>
    </row>
    <row r="94" spans="2:15" s="48" customFormat="1" ht="18.75" customHeight="1" x14ac:dyDescent="0.25">
      <c r="B94" s="1386"/>
      <c r="C94" s="1300"/>
      <c r="D94" s="1230"/>
      <c r="E94" s="1230"/>
      <c r="F94" s="1230"/>
      <c r="G94" s="1197"/>
      <c r="H94" s="1230"/>
      <c r="I94" s="1230"/>
      <c r="J94" s="1230"/>
      <c r="K94" s="1230"/>
      <c r="L94" s="1230"/>
      <c r="M94" s="690"/>
      <c r="N94" s="690"/>
      <c r="O94" s="690"/>
    </row>
    <row r="95" spans="2:15" s="48" customFormat="1" ht="40.5" customHeight="1" x14ac:dyDescent="0.25">
      <c r="B95" s="1386"/>
      <c r="C95" s="1300"/>
      <c r="D95" s="1230"/>
      <c r="E95" s="673"/>
      <c r="F95" s="1230"/>
      <c r="G95" s="1197"/>
      <c r="H95" s="1230"/>
      <c r="I95" s="1230"/>
      <c r="J95" s="1230"/>
      <c r="K95" s="1230"/>
      <c r="L95" s="1230"/>
      <c r="M95" s="690"/>
      <c r="N95" s="690"/>
      <c r="O95" s="690"/>
    </row>
    <row r="96" spans="2:15" s="48" customFormat="1" ht="19.5" customHeight="1" x14ac:dyDescent="0.25">
      <c r="B96" s="1378"/>
      <c r="C96" s="1300"/>
      <c r="D96" s="1230"/>
      <c r="E96" s="1230"/>
      <c r="F96" s="1230"/>
      <c r="G96" s="1197"/>
      <c r="H96" s="1230"/>
      <c r="I96" s="1230"/>
      <c r="J96" s="1230"/>
      <c r="K96" s="1230"/>
      <c r="L96" s="1230"/>
      <c r="M96" s="690"/>
      <c r="N96" s="690"/>
      <c r="O96" s="690"/>
    </row>
    <row r="97" spans="2:15" s="48" customFormat="1" ht="14.25" customHeight="1" x14ac:dyDescent="0.25">
      <c r="B97" s="1378"/>
      <c r="C97" s="1300"/>
      <c r="D97" s="1230"/>
      <c r="E97" s="1230"/>
      <c r="F97" s="1230"/>
      <c r="G97" s="1197"/>
      <c r="H97" s="1230"/>
      <c r="I97" s="1230"/>
      <c r="J97" s="1230"/>
      <c r="K97" s="1230"/>
      <c r="L97" s="1230"/>
      <c r="M97" s="690"/>
      <c r="N97" s="690"/>
      <c r="O97" s="690"/>
    </row>
    <row r="98" spans="2:15" s="48" customFormat="1" ht="15.75" customHeight="1" x14ac:dyDescent="0.25">
      <c r="B98" s="1378"/>
      <c r="C98" s="1300"/>
      <c r="D98" s="1230"/>
      <c r="E98" s="1230"/>
      <c r="F98" s="1230"/>
      <c r="G98" s="1197"/>
      <c r="H98" s="1230"/>
      <c r="I98" s="1230"/>
      <c r="J98" s="1230"/>
      <c r="K98" s="1230"/>
      <c r="L98" s="1230"/>
      <c r="M98" s="690"/>
      <c r="N98" s="690"/>
      <c r="O98" s="690"/>
    </row>
    <row r="99" spans="2:15" s="48" customFormat="1" ht="17.25" customHeight="1" x14ac:dyDescent="0.25">
      <c r="B99" s="1378"/>
      <c r="C99" s="1300"/>
      <c r="D99" s="1230"/>
      <c r="E99" s="673"/>
      <c r="F99" s="1230"/>
      <c r="G99" s="1197"/>
      <c r="H99" s="1230"/>
      <c r="I99" s="1230"/>
      <c r="J99" s="1230"/>
      <c r="K99" s="1230"/>
      <c r="L99" s="1230"/>
      <c r="M99" s="690"/>
      <c r="N99" s="690"/>
      <c r="O99" s="690"/>
    </row>
    <row r="100" spans="2:15" s="48" customFormat="1" ht="15.75" customHeight="1" x14ac:dyDescent="0.25">
      <c r="B100" s="1378"/>
      <c r="C100" s="1300"/>
      <c r="D100" s="1230"/>
      <c r="E100" s="673"/>
      <c r="F100" s="1230"/>
      <c r="G100" s="1197"/>
      <c r="H100" s="1230"/>
      <c r="I100" s="1230"/>
      <c r="J100" s="1230"/>
      <c r="K100" s="1230"/>
      <c r="L100" s="1230"/>
      <c r="M100" s="690"/>
      <c r="N100" s="690"/>
      <c r="O100" s="690"/>
    </row>
    <row r="101" spans="2:15" s="48" customFormat="1" ht="15.75" customHeight="1" x14ac:dyDescent="0.25">
      <c r="B101" s="1378"/>
      <c r="C101" s="1300"/>
      <c r="D101" s="1230"/>
      <c r="E101" s="673"/>
      <c r="F101" s="1230"/>
      <c r="G101" s="1197"/>
      <c r="H101" s="1230"/>
      <c r="I101" s="1230"/>
      <c r="J101" s="1230"/>
      <c r="K101" s="1230"/>
      <c r="L101" s="1230"/>
      <c r="M101" s="690"/>
      <c r="N101" s="690"/>
      <c r="O101" s="690"/>
    </row>
    <row r="102" spans="2:15" s="48" customFormat="1" ht="17.25" customHeight="1" x14ac:dyDescent="0.25">
      <c r="B102" s="1378"/>
      <c r="C102" s="1300"/>
      <c r="D102" s="1230"/>
      <c r="E102" s="673"/>
      <c r="F102" s="1230"/>
      <c r="G102" s="1197"/>
      <c r="H102" s="1230"/>
      <c r="I102" s="1230"/>
      <c r="J102" s="1230"/>
      <c r="K102" s="1230"/>
      <c r="L102" s="1230"/>
      <c r="M102" s="690"/>
      <c r="N102" s="690"/>
      <c r="O102" s="690"/>
    </row>
    <row r="103" spans="2:15" s="48" customFormat="1" ht="16.5" customHeight="1" x14ac:dyDescent="0.25">
      <c r="B103" s="1378"/>
      <c r="C103" s="1300"/>
      <c r="D103" s="1230"/>
      <c r="E103" s="673"/>
      <c r="F103" s="1230"/>
      <c r="G103" s="1197"/>
      <c r="H103" s="1230"/>
      <c r="I103" s="1230"/>
      <c r="J103" s="1230"/>
      <c r="K103" s="1230"/>
      <c r="L103" s="1230"/>
      <c r="M103" s="690"/>
      <c r="N103" s="690"/>
      <c r="O103" s="690"/>
    </row>
    <row r="104" spans="2:15" s="48" customFormat="1" ht="18.75" customHeight="1" x14ac:dyDescent="0.25">
      <c r="B104" s="1378"/>
      <c r="C104" s="1300"/>
      <c r="D104" s="1243"/>
      <c r="E104" s="673"/>
      <c r="F104" s="1243"/>
      <c r="G104" s="1387"/>
      <c r="H104" s="1197"/>
      <c r="I104" s="1243"/>
      <c r="J104" s="1300"/>
      <c r="K104" s="1300"/>
      <c r="L104" s="1300"/>
      <c r="M104" s="816"/>
      <c r="N104" s="690"/>
      <c r="O104" s="690"/>
    </row>
    <row r="105" spans="2:15" s="48" customFormat="1" ht="19.5" customHeight="1" x14ac:dyDescent="0.25">
      <c r="B105" s="1378"/>
      <c r="C105" s="1300"/>
      <c r="D105" s="1243"/>
      <c r="E105" s="673"/>
      <c r="F105" s="1243"/>
      <c r="G105" s="1387"/>
      <c r="H105" s="1197"/>
      <c r="I105" s="1243"/>
      <c r="J105" s="1300"/>
      <c r="K105" s="1230"/>
      <c r="L105" s="1230"/>
      <c r="M105" s="690"/>
      <c r="N105" s="690"/>
      <c r="O105" s="690"/>
    </row>
    <row r="106" spans="2:15" s="48" customFormat="1" ht="18.75" customHeight="1" x14ac:dyDescent="0.25">
      <c r="B106" s="1378"/>
      <c r="C106" s="1300"/>
      <c r="D106" s="1243"/>
      <c r="E106" s="673"/>
      <c r="F106" s="1243"/>
      <c r="G106" s="1387"/>
      <c r="H106" s="1197"/>
      <c r="I106" s="1243"/>
      <c r="J106" s="1300"/>
      <c r="K106" s="1230"/>
      <c r="L106" s="1230"/>
      <c r="M106" s="816"/>
      <c r="N106" s="690"/>
      <c r="O106" s="690"/>
    </row>
    <row r="107" spans="2:15" s="48" customFormat="1" ht="18" customHeight="1" x14ac:dyDescent="0.25">
      <c r="B107" s="1378"/>
      <c r="C107" s="1300"/>
      <c r="D107" s="1243"/>
      <c r="E107" s="673"/>
      <c r="F107" s="1243"/>
      <c r="G107" s="1387"/>
      <c r="H107" s="1197"/>
      <c r="I107" s="1243"/>
      <c r="J107" s="1300"/>
      <c r="K107" s="1230"/>
      <c r="L107" s="1230"/>
      <c r="M107" s="690"/>
      <c r="N107" s="690"/>
      <c r="O107" s="690"/>
    </row>
    <row r="108" spans="2:15" s="48" customFormat="1" ht="16.5" customHeight="1" x14ac:dyDescent="0.25">
      <c r="B108" s="1378"/>
      <c r="C108" s="1300"/>
      <c r="D108" s="1243"/>
      <c r="E108" s="1230"/>
      <c r="F108" s="1230"/>
      <c r="G108" s="1197"/>
      <c r="H108" s="1197"/>
      <c r="I108" s="1243"/>
      <c r="J108" s="1230"/>
      <c r="K108" s="1230"/>
      <c r="L108" s="1230"/>
      <c r="M108" s="690"/>
      <c r="N108" s="690"/>
      <c r="O108" s="690"/>
    </row>
    <row r="109" spans="2:15" s="48" customFormat="1" ht="14.25" customHeight="1" x14ac:dyDescent="0.25">
      <c r="B109" s="1378"/>
      <c r="C109" s="1300"/>
      <c r="D109" s="1243"/>
      <c r="E109" s="1230"/>
      <c r="F109" s="1230"/>
      <c r="G109" s="1197"/>
      <c r="H109" s="1197"/>
      <c r="I109" s="1243"/>
      <c r="J109" s="1230"/>
      <c r="K109" s="1230"/>
      <c r="L109" s="1230"/>
      <c r="M109" s="690"/>
      <c r="N109" s="690"/>
      <c r="O109" s="690"/>
    </row>
    <row r="110" spans="2:15" s="48" customFormat="1" ht="15" customHeight="1" x14ac:dyDescent="0.25">
      <c r="B110" s="1378"/>
      <c r="C110" s="1300"/>
      <c r="D110" s="1243"/>
      <c r="E110" s="1230"/>
      <c r="F110" s="1230"/>
      <c r="G110" s="1197"/>
      <c r="H110" s="1197"/>
      <c r="I110" s="1243"/>
      <c r="J110" s="1230"/>
      <c r="K110" s="1230"/>
      <c r="L110" s="1230"/>
      <c r="M110" s="690"/>
      <c r="N110" s="690"/>
      <c r="O110" s="690"/>
    </row>
    <row r="111" spans="2:15" s="48" customFormat="1" ht="14.25" customHeight="1" x14ac:dyDescent="0.25">
      <c r="B111" s="1378"/>
      <c r="C111" s="1300"/>
      <c r="D111" s="1243"/>
      <c r="E111" s="673"/>
      <c r="F111" s="1230"/>
      <c r="G111" s="1197"/>
      <c r="H111" s="1197"/>
      <c r="I111" s="1243"/>
      <c r="J111" s="1230"/>
      <c r="K111" s="1230"/>
      <c r="L111" s="1230"/>
      <c r="M111" s="690"/>
      <c r="N111" s="690"/>
      <c r="O111" s="690"/>
    </row>
    <row r="112" spans="2:15" s="48" customFormat="1" ht="15.75" customHeight="1" x14ac:dyDescent="0.25">
      <c r="B112" s="1378"/>
      <c r="C112" s="1300"/>
      <c r="D112" s="1243"/>
      <c r="E112" s="673"/>
      <c r="F112" s="1230"/>
      <c r="G112" s="1197"/>
      <c r="H112" s="1197"/>
      <c r="I112" s="1243"/>
      <c r="J112" s="1230"/>
      <c r="K112" s="1230"/>
      <c r="L112" s="1230"/>
      <c r="M112" s="690"/>
      <c r="N112" s="690"/>
      <c r="O112" s="690"/>
    </row>
    <row r="113" spans="2:15" s="48" customFormat="1" ht="19.5" customHeight="1" x14ac:dyDescent="0.25">
      <c r="B113" s="1378"/>
      <c r="C113" s="1300"/>
      <c r="D113" s="1243"/>
      <c r="E113" s="673"/>
      <c r="F113" s="1230"/>
      <c r="G113" s="1197"/>
      <c r="H113" s="1197"/>
      <c r="I113" s="1243"/>
      <c r="J113" s="1230"/>
      <c r="K113" s="1230"/>
      <c r="L113" s="1230"/>
      <c r="M113" s="690"/>
      <c r="N113" s="690"/>
      <c r="O113" s="690"/>
    </row>
    <row r="114" spans="2:15" s="48" customFormat="1" ht="18" customHeight="1" x14ac:dyDescent="0.25">
      <c r="B114" s="1378"/>
      <c r="C114" s="1300"/>
      <c r="D114" s="1243"/>
      <c r="E114" s="673"/>
      <c r="F114" s="1230"/>
      <c r="G114" s="1197"/>
      <c r="H114" s="1197"/>
      <c r="I114" s="1243"/>
      <c r="J114" s="1230"/>
      <c r="K114" s="1230"/>
      <c r="L114" s="1230"/>
      <c r="M114" s="690"/>
      <c r="N114" s="690"/>
      <c r="O114" s="690"/>
    </row>
    <row r="115" spans="2:15" s="48" customFormat="1" ht="20.25" customHeight="1" x14ac:dyDescent="0.25">
      <c r="B115" s="1378"/>
      <c r="C115" s="1300"/>
      <c r="D115" s="1243"/>
      <c r="E115" s="673"/>
      <c r="F115" s="1230"/>
      <c r="G115" s="1197"/>
      <c r="H115" s="1197"/>
      <c r="I115" s="1243"/>
      <c r="J115" s="1230"/>
      <c r="K115" s="1230"/>
      <c r="L115" s="1230"/>
      <c r="M115" s="690"/>
      <c r="N115" s="690"/>
      <c r="O115" s="690"/>
    </row>
    <row r="116" spans="2:15" s="48" customFormat="1" ht="18.75" customHeight="1" x14ac:dyDescent="0.25">
      <c r="B116" s="1378"/>
      <c r="C116" s="1300"/>
      <c r="D116" s="1243"/>
      <c r="E116" s="673"/>
      <c r="F116" s="1230"/>
      <c r="G116" s="1197"/>
      <c r="H116" s="1197"/>
      <c r="I116" s="1243"/>
      <c r="J116" s="1230"/>
      <c r="K116" s="1230"/>
      <c r="L116" s="1230"/>
      <c r="M116" s="690"/>
      <c r="N116" s="690"/>
      <c r="O116" s="690"/>
    </row>
    <row r="117" spans="2:15" s="48" customFormat="1" ht="14.25" customHeight="1" x14ac:dyDescent="0.25">
      <c r="B117" s="1378"/>
      <c r="C117" s="1300"/>
      <c r="D117" s="1243"/>
      <c r="E117" s="673"/>
      <c r="F117" s="1230"/>
      <c r="G117" s="1197"/>
      <c r="H117" s="1197"/>
      <c r="I117" s="1243"/>
      <c r="J117" s="1230"/>
      <c r="K117" s="1230"/>
      <c r="L117" s="1230"/>
      <c r="M117" s="690"/>
      <c r="N117" s="690"/>
      <c r="O117" s="690"/>
    </row>
    <row r="118" spans="2:15" s="48" customFormat="1" ht="15.75" customHeight="1" x14ac:dyDescent="0.25">
      <c r="B118" s="1378"/>
      <c r="C118" s="1300"/>
      <c r="D118" s="1243"/>
      <c r="E118" s="673"/>
      <c r="F118" s="1230"/>
      <c r="G118" s="1197"/>
      <c r="H118" s="1197"/>
      <c r="I118" s="1243"/>
      <c r="J118" s="1230"/>
      <c r="K118" s="1230"/>
      <c r="L118" s="1230"/>
      <c r="M118" s="690"/>
      <c r="N118" s="690"/>
      <c r="O118" s="690"/>
    </row>
    <row r="119" spans="2:15" s="48" customFormat="1" ht="15" customHeight="1" x14ac:dyDescent="0.25">
      <c r="B119" s="1378"/>
      <c r="C119" s="1300"/>
      <c r="D119" s="1243"/>
      <c r="E119" s="673"/>
      <c r="F119" s="1230"/>
      <c r="G119" s="1197"/>
      <c r="H119" s="1197"/>
      <c r="I119" s="1243"/>
      <c r="J119" s="1230"/>
      <c r="K119" s="1230"/>
      <c r="L119" s="1230"/>
      <c r="M119" s="690"/>
      <c r="N119" s="690"/>
      <c r="O119" s="690"/>
    </row>
    <row r="120" spans="2:15" s="48" customFormat="1" ht="16.5" customHeight="1" x14ac:dyDescent="0.25">
      <c r="B120" s="1378"/>
      <c r="C120" s="1300"/>
      <c r="D120" s="1243"/>
      <c r="E120" s="1230"/>
      <c r="F120" s="1230"/>
      <c r="G120" s="1197"/>
      <c r="H120" s="1197"/>
      <c r="I120" s="1243"/>
      <c r="J120" s="1230"/>
      <c r="K120" s="1230"/>
      <c r="L120" s="1230"/>
      <c r="M120" s="690"/>
      <c r="N120" s="690"/>
      <c r="O120" s="690"/>
    </row>
    <row r="121" spans="2:15" s="48" customFormat="1" ht="14.25" customHeight="1" x14ac:dyDescent="0.25">
      <c r="B121" s="1378"/>
      <c r="C121" s="1300"/>
      <c r="D121" s="1243"/>
      <c r="E121" s="1230"/>
      <c r="F121" s="1230"/>
      <c r="G121" s="1197"/>
      <c r="H121" s="1197"/>
      <c r="I121" s="1243"/>
      <c r="J121" s="1230"/>
      <c r="K121" s="1230"/>
      <c r="L121" s="1230"/>
      <c r="M121" s="690"/>
      <c r="N121" s="690"/>
      <c r="O121" s="690"/>
    </row>
    <row r="122" spans="2:15" s="48" customFormat="1" ht="14.25" customHeight="1" x14ac:dyDescent="0.25">
      <c r="B122" s="1378"/>
      <c r="C122" s="1300"/>
      <c r="D122" s="1243"/>
      <c r="E122" s="1230"/>
      <c r="F122" s="1230"/>
      <c r="G122" s="1197"/>
      <c r="H122" s="1197"/>
      <c r="I122" s="1243"/>
      <c r="J122" s="1230"/>
      <c r="K122" s="1230"/>
      <c r="L122" s="1230"/>
      <c r="M122" s="690"/>
      <c r="N122" s="690"/>
      <c r="O122" s="690"/>
    </row>
    <row r="123" spans="2:15" s="48" customFormat="1" ht="15" customHeight="1" x14ac:dyDescent="0.25">
      <c r="B123" s="1378"/>
      <c r="C123" s="1300"/>
      <c r="D123" s="1243"/>
      <c r="E123" s="673"/>
      <c r="F123" s="1230"/>
      <c r="G123" s="1197"/>
      <c r="H123" s="1197"/>
      <c r="I123" s="1243"/>
      <c r="J123" s="1230"/>
      <c r="K123" s="1230"/>
      <c r="L123" s="1230"/>
      <c r="M123" s="690"/>
      <c r="N123" s="690"/>
      <c r="O123" s="690"/>
    </row>
    <row r="124" spans="2:15" s="48" customFormat="1" ht="16.5" customHeight="1" x14ac:dyDescent="0.25">
      <c r="B124" s="1378"/>
      <c r="C124" s="1300"/>
      <c r="D124" s="1243"/>
      <c r="E124" s="1230"/>
      <c r="F124" s="1230"/>
      <c r="G124" s="1197"/>
      <c r="H124" s="1197"/>
      <c r="I124" s="1243"/>
      <c r="J124" s="1230"/>
      <c r="K124" s="1230"/>
      <c r="L124" s="1230"/>
      <c r="M124" s="690"/>
      <c r="N124" s="690"/>
      <c r="O124" s="690"/>
    </row>
    <row r="125" spans="2:15" s="48" customFormat="1" ht="14.25" customHeight="1" x14ac:dyDescent="0.25">
      <c r="B125" s="1378"/>
      <c r="C125" s="1300"/>
      <c r="D125" s="1243"/>
      <c r="E125" s="1230"/>
      <c r="F125" s="1230"/>
      <c r="G125" s="1197"/>
      <c r="H125" s="1197"/>
      <c r="I125" s="1243"/>
      <c r="J125" s="1230"/>
      <c r="K125" s="1230"/>
      <c r="L125" s="1230"/>
      <c r="M125" s="690"/>
      <c r="N125" s="690"/>
      <c r="O125" s="690"/>
    </row>
    <row r="126" spans="2:15" s="48" customFormat="1" ht="15" customHeight="1" x14ac:dyDescent="0.25">
      <c r="B126" s="1378"/>
      <c r="C126" s="1300"/>
      <c r="D126" s="1243"/>
      <c r="E126" s="1230"/>
      <c r="F126" s="1230"/>
      <c r="G126" s="1197"/>
      <c r="H126" s="1197"/>
      <c r="I126" s="1243"/>
      <c r="J126" s="1230"/>
      <c r="K126" s="1230"/>
      <c r="L126" s="1230"/>
      <c r="M126" s="690"/>
      <c r="N126" s="690"/>
      <c r="O126" s="690"/>
    </row>
    <row r="127" spans="2:15" s="48" customFormat="1" ht="15" customHeight="1" x14ac:dyDescent="0.25">
      <c r="B127" s="1378"/>
      <c r="C127" s="1300"/>
      <c r="D127" s="1243"/>
      <c r="E127" s="673"/>
      <c r="F127" s="1230"/>
      <c r="G127" s="1197"/>
      <c r="H127" s="1197"/>
      <c r="I127" s="1243"/>
      <c r="J127" s="1230"/>
      <c r="K127" s="1230"/>
      <c r="L127" s="1230"/>
      <c r="M127" s="690"/>
      <c r="N127" s="690"/>
      <c r="O127" s="690"/>
    </row>
    <row r="128" spans="2:15" s="48" customFormat="1" ht="15" customHeight="1" x14ac:dyDescent="0.25">
      <c r="B128" s="1386"/>
      <c r="C128" s="1300"/>
      <c r="D128" s="1243"/>
      <c r="E128" s="673"/>
      <c r="F128" s="1230"/>
      <c r="G128" s="1197"/>
      <c r="H128" s="1197"/>
      <c r="I128" s="1243"/>
      <c r="J128" s="1230"/>
      <c r="K128" s="1230"/>
      <c r="L128" s="1230"/>
      <c r="M128" s="690"/>
      <c r="N128" s="690"/>
      <c r="O128" s="690"/>
    </row>
    <row r="129" spans="2:15" s="48" customFormat="1" ht="15" customHeight="1" x14ac:dyDescent="0.25">
      <c r="B129" s="1386"/>
      <c r="C129" s="1300"/>
      <c r="D129" s="1243"/>
      <c r="E129" s="673"/>
      <c r="F129" s="1230"/>
      <c r="G129" s="1197"/>
      <c r="H129" s="1197"/>
      <c r="I129" s="1243"/>
      <c r="J129" s="1230"/>
      <c r="K129" s="1230"/>
      <c r="L129" s="1230"/>
      <c r="M129" s="690"/>
      <c r="N129" s="690"/>
      <c r="O129" s="690"/>
    </row>
    <row r="130" spans="2:15" s="48" customFormat="1" ht="15" customHeight="1" x14ac:dyDescent="0.25">
      <c r="B130" s="1386"/>
      <c r="C130" s="1300"/>
      <c r="D130" s="1243"/>
      <c r="E130" s="673"/>
      <c r="F130" s="1230"/>
      <c r="G130" s="1197"/>
      <c r="H130" s="1197"/>
      <c r="I130" s="1243"/>
      <c r="J130" s="1230"/>
      <c r="K130" s="1230"/>
      <c r="L130" s="1230"/>
      <c r="M130" s="690"/>
      <c r="N130" s="690"/>
      <c r="O130" s="690"/>
    </row>
    <row r="131" spans="2:15" s="48" customFormat="1" ht="15" customHeight="1" x14ac:dyDescent="0.25">
      <c r="B131" s="1386"/>
      <c r="C131" s="1300"/>
      <c r="D131" s="1243"/>
      <c r="E131" s="673"/>
      <c r="F131" s="1230"/>
      <c r="G131" s="1197"/>
      <c r="H131" s="1197"/>
      <c r="I131" s="1243"/>
      <c r="J131" s="1230"/>
      <c r="K131" s="1230"/>
      <c r="L131" s="1230"/>
      <c r="M131" s="690"/>
      <c r="N131" s="690"/>
      <c r="O131" s="690"/>
    </row>
    <row r="132" spans="2:15" s="48" customFormat="1" ht="15" customHeight="1" x14ac:dyDescent="0.25">
      <c r="B132" s="1386"/>
      <c r="C132" s="1300"/>
      <c r="D132" s="1243"/>
      <c r="E132" s="673"/>
      <c r="F132" s="1230"/>
      <c r="G132" s="1197"/>
      <c r="H132" s="1197"/>
      <c r="I132" s="1243"/>
      <c r="J132" s="1230"/>
      <c r="K132" s="1230"/>
      <c r="L132" s="1230"/>
      <c r="M132" s="690"/>
      <c r="N132" s="690"/>
      <c r="O132" s="690"/>
    </row>
    <row r="133" spans="2:15" s="48" customFormat="1" ht="15" customHeight="1" x14ac:dyDescent="0.25">
      <c r="B133" s="1386"/>
      <c r="C133" s="1300"/>
      <c r="D133" s="1243"/>
      <c r="E133" s="673"/>
      <c r="F133" s="1230"/>
      <c r="G133" s="1197"/>
      <c r="H133" s="1197"/>
      <c r="I133" s="1243"/>
      <c r="J133" s="1230"/>
      <c r="K133" s="1230"/>
      <c r="L133" s="1230"/>
      <c r="M133" s="690"/>
      <c r="N133" s="690"/>
      <c r="O133" s="690"/>
    </row>
    <row r="134" spans="2:15" s="48" customFormat="1" ht="15" customHeight="1" x14ac:dyDescent="0.25">
      <c r="B134" s="1386"/>
      <c r="C134" s="1300"/>
      <c r="D134" s="1243"/>
      <c r="E134" s="673"/>
      <c r="F134" s="1230"/>
      <c r="G134" s="1197"/>
      <c r="H134" s="1197"/>
      <c r="I134" s="1243"/>
      <c r="J134" s="1230"/>
      <c r="K134" s="1230"/>
      <c r="L134" s="1230"/>
      <c r="M134" s="690"/>
      <c r="N134" s="690"/>
      <c r="O134" s="690"/>
    </row>
    <row r="135" spans="2:15" s="48" customFormat="1" ht="15" customHeight="1" x14ac:dyDescent="0.25">
      <c r="B135" s="1386"/>
      <c r="C135" s="1300"/>
      <c r="D135" s="1243"/>
      <c r="E135" s="673"/>
      <c r="F135" s="1230"/>
      <c r="G135" s="1197"/>
      <c r="H135" s="1197"/>
      <c r="I135" s="1243"/>
      <c r="J135" s="1230"/>
      <c r="K135" s="1230"/>
      <c r="L135" s="1230"/>
      <c r="M135" s="690"/>
      <c r="N135" s="690"/>
      <c r="O135" s="690"/>
    </row>
    <row r="136" spans="2:15" s="48" customFormat="1" ht="15" customHeight="1" x14ac:dyDescent="0.25">
      <c r="B136" s="1386"/>
      <c r="C136" s="1300"/>
      <c r="D136" s="1243"/>
      <c r="E136" s="673"/>
      <c r="F136" s="1230"/>
      <c r="G136" s="1197"/>
      <c r="H136" s="1197"/>
      <c r="I136" s="1243"/>
      <c r="J136" s="1230"/>
      <c r="K136" s="1230"/>
      <c r="L136" s="1230"/>
      <c r="M136" s="690"/>
      <c r="N136" s="690"/>
      <c r="O136" s="690"/>
    </row>
    <row r="137" spans="2:15" s="48" customFormat="1" ht="15" customHeight="1" x14ac:dyDescent="0.25">
      <c r="B137" s="1386"/>
      <c r="C137" s="1300"/>
      <c r="D137" s="1243"/>
      <c r="E137" s="673"/>
      <c r="F137" s="1230"/>
      <c r="G137" s="1197"/>
      <c r="H137" s="1197"/>
      <c r="I137" s="1243"/>
      <c r="J137" s="1230"/>
      <c r="K137" s="1230"/>
      <c r="L137" s="1230"/>
      <c r="M137" s="690"/>
      <c r="N137" s="690"/>
      <c r="O137" s="690"/>
    </row>
    <row r="138" spans="2:15" s="48" customFormat="1" ht="15" customHeight="1" x14ac:dyDescent="0.25">
      <c r="B138" s="1386"/>
      <c r="C138" s="1300"/>
      <c r="D138" s="1243"/>
      <c r="E138" s="673"/>
      <c r="F138" s="1230"/>
      <c r="G138" s="1197"/>
      <c r="H138" s="1197"/>
      <c r="I138" s="1243"/>
      <c r="J138" s="1230"/>
      <c r="K138" s="1230"/>
      <c r="L138" s="1230"/>
      <c r="M138" s="690"/>
      <c r="N138" s="690"/>
      <c r="O138" s="690"/>
    </row>
    <row r="139" spans="2:15" s="48" customFormat="1" ht="15" customHeight="1" x14ac:dyDescent="0.25">
      <c r="B139" s="1386"/>
      <c r="C139" s="1300"/>
      <c r="D139" s="1243"/>
      <c r="E139" s="673"/>
      <c r="F139" s="1230"/>
      <c r="G139" s="1197"/>
      <c r="H139" s="1197"/>
      <c r="I139" s="1243"/>
      <c r="J139" s="1230"/>
      <c r="K139" s="1230"/>
      <c r="L139" s="1230"/>
      <c r="M139" s="690"/>
      <c r="N139" s="690"/>
      <c r="O139" s="690"/>
    </row>
    <row r="140" spans="2:15" s="48" customFormat="1" ht="23.25" customHeight="1" x14ac:dyDescent="0.25">
      <c r="B140" s="1386"/>
      <c r="C140" s="1300"/>
      <c r="D140" s="1243"/>
      <c r="E140" s="673"/>
      <c r="F140" s="1230"/>
      <c r="G140" s="1197"/>
      <c r="H140" s="1197"/>
      <c r="I140" s="1243"/>
      <c r="J140" s="1230"/>
      <c r="K140" s="1230"/>
      <c r="L140" s="1230"/>
      <c r="M140" s="690"/>
      <c r="N140" s="690"/>
      <c r="O140" s="690"/>
    </row>
    <row r="141" spans="2:15" s="48" customFormat="1" ht="18.75" customHeight="1" x14ac:dyDescent="0.25">
      <c r="B141" s="1386"/>
      <c r="C141" s="1300"/>
      <c r="D141" s="1243"/>
      <c r="E141" s="673"/>
      <c r="F141" s="1230"/>
      <c r="G141" s="1197"/>
      <c r="H141" s="1197"/>
      <c r="I141" s="1243"/>
      <c r="J141" s="1230"/>
      <c r="K141" s="1230"/>
      <c r="L141" s="1230"/>
      <c r="M141" s="690"/>
      <c r="N141" s="690"/>
      <c r="O141" s="690"/>
    </row>
    <row r="142" spans="2:15" s="48" customFormat="1" ht="23.25" customHeight="1" x14ac:dyDescent="0.25">
      <c r="B142" s="1386"/>
      <c r="C142" s="1300"/>
      <c r="D142" s="1243"/>
      <c r="E142" s="673"/>
      <c r="F142" s="1230"/>
      <c r="G142" s="1197"/>
      <c r="H142" s="1197"/>
      <c r="I142" s="1243"/>
      <c r="J142" s="1230"/>
      <c r="K142" s="1230"/>
      <c r="L142" s="1230"/>
      <c r="M142" s="690"/>
      <c r="N142" s="690"/>
      <c r="O142" s="690"/>
    </row>
    <row r="143" spans="2:15" s="48" customFormat="1" ht="17.25" customHeight="1" x14ac:dyDescent="0.25">
      <c r="B143" s="1386"/>
      <c r="C143" s="1300"/>
      <c r="D143" s="1243"/>
      <c r="E143" s="673"/>
      <c r="F143" s="1230"/>
      <c r="G143" s="1197"/>
      <c r="H143" s="1197"/>
      <c r="I143" s="1243"/>
      <c r="J143" s="1230"/>
      <c r="K143" s="1230"/>
      <c r="L143" s="1230"/>
      <c r="M143" s="690"/>
      <c r="N143" s="690"/>
      <c r="O143" s="690"/>
    </row>
    <row r="144" spans="2:15" s="48" customFormat="1" ht="20.25" customHeight="1" x14ac:dyDescent="0.25">
      <c r="B144" s="1386"/>
      <c r="C144" s="1300"/>
      <c r="D144" s="1243"/>
      <c r="E144" s="673"/>
      <c r="F144" s="1230"/>
      <c r="G144" s="1197"/>
      <c r="H144" s="1197"/>
      <c r="I144" s="1243"/>
      <c r="J144" s="1230"/>
      <c r="K144" s="1230"/>
      <c r="L144" s="1230"/>
      <c r="M144" s="690"/>
      <c r="N144" s="690"/>
      <c r="O144" s="690"/>
    </row>
    <row r="145" spans="2:15" s="48" customFormat="1" ht="18.75" customHeight="1" x14ac:dyDescent="0.25">
      <c r="B145" s="1386"/>
      <c r="C145" s="1300"/>
      <c r="D145" s="1243"/>
      <c r="E145" s="673"/>
      <c r="F145" s="1230"/>
      <c r="G145" s="1197"/>
      <c r="H145" s="1197"/>
      <c r="I145" s="1243"/>
      <c r="J145" s="1230"/>
      <c r="K145" s="1230"/>
      <c r="L145" s="1230"/>
      <c r="M145" s="690"/>
      <c r="N145" s="690"/>
      <c r="O145" s="690"/>
    </row>
    <row r="146" spans="2:15" s="48" customFormat="1" ht="16.5" customHeight="1" x14ac:dyDescent="0.25">
      <c r="B146" s="1386"/>
      <c r="C146" s="1300"/>
      <c r="D146" s="1243"/>
      <c r="E146" s="673"/>
      <c r="F146" s="1230"/>
      <c r="G146" s="1197"/>
      <c r="H146" s="1197"/>
      <c r="I146" s="1243"/>
      <c r="J146" s="1230"/>
      <c r="K146" s="1230"/>
      <c r="L146" s="1230"/>
      <c r="M146" s="690"/>
      <c r="N146" s="690"/>
      <c r="O146" s="690"/>
    </row>
    <row r="147" spans="2:15" s="48" customFormat="1" ht="15.75" customHeight="1" x14ac:dyDescent="0.25">
      <c r="B147" s="1386"/>
      <c r="C147" s="1300"/>
      <c r="D147" s="1243"/>
      <c r="E147" s="673"/>
      <c r="F147" s="1230"/>
      <c r="G147" s="1197"/>
      <c r="H147" s="1197"/>
      <c r="I147" s="1243"/>
      <c r="J147" s="1230"/>
      <c r="K147" s="1230"/>
      <c r="L147" s="1230"/>
      <c r="M147" s="690"/>
      <c r="N147" s="690"/>
      <c r="O147" s="690"/>
    </row>
    <row r="148" spans="2:15" s="48" customFormat="1" ht="15.75" customHeight="1" x14ac:dyDescent="0.25">
      <c r="B148" s="1386"/>
      <c r="C148" s="1300"/>
      <c r="D148" s="1243"/>
      <c r="E148" s="673"/>
      <c r="F148" s="1230"/>
      <c r="G148" s="1197"/>
      <c r="H148" s="1197"/>
      <c r="I148" s="1243"/>
      <c r="J148" s="1230"/>
      <c r="K148" s="1230"/>
      <c r="L148" s="1230"/>
      <c r="M148" s="690"/>
      <c r="N148" s="690"/>
      <c r="O148" s="690"/>
    </row>
    <row r="149" spans="2:15" s="48" customFormat="1" ht="15.75" customHeight="1" x14ac:dyDescent="0.25">
      <c r="B149" s="1386"/>
      <c r="C149" s="1300"/>
      <c r="D149" s="1243"/>
      <c r="E149" s="673"/>
      <c r="F149" s="1230"/>
      <c r="G149" s="1197"/>
      <c r="H149" s="1197"/>
      <c r="I149" s="1243"/>
      <c r="J149" s="1230"/>
      <c r="K149" s="1230"/>
      <c r="L149" s="1230"/>
      <c r="M149" s="690"/>
      <c r="N149" s="690"/>
      <c r="O149" s="690"/>
    </row>
    <row r="150" spans="2:15" s="48" customFormat="1" ht="15.75" customHeight="1" x14ac:dyDescent="0.25">
      <c r="B150" s="1386"/>
      <c r="C150" s="1300"/>
      <c r="D150" s="1243"/>
      <c r="E150" s="673"/>
      <c r="F150" s="1230"/>
      <c r="G150" s="1197"/>
      <c r="H150" s="1197"/>
      <c r="I150" s="1243"/>
      <c r="J150" s="1230"/>
      <c r="K150" s="1230"/>
      <c r="L150" s="1230"/>
      <c r="M150" s="690"/>
      <c r="N150" s="690"/>
      <c r="O150" s="690"/>
    </row>
    <row r="151" spans="2:15" s="48" customFormat="1" ht="15.75" customHeight="1" x14ac:dyDescent="0.25">
      <c r="B151" s="1386"/>
      <c r="C151" s="1300"/>
      <c r="D151" s="1243"/>
      <c r="E151" s="673"/>
      <c r="F151" s="1230"/>
      <c r="G151" s="1197"/>
      <c r="H151" s="1197"/>
      <c r="I151" s="1243"/>
      <c r="J151" s="1230"/>
      <c r="K151" s="1230"/>
      <c r="L151" s="1230"/>
      <c r="M151" s="690"/>
      <c r="N151" s="690"/>
      <c r="O151" s="690"/>
    </row>
    <row r="152" spans="2:15" s="48" customFormat="1" ht="15.75" customHeight="1" x14ac:dyDescent="0.25">
      <c r="B152" s="1386"/>
      <c r="C152" s="1300"/>
      <c r="D152" s="1243"/>
      <c r="E152" s="673"/>
      <c r="F152" s="1230"/>
      <c r="G152" s="1197"/>
      <c r="H152" s="1197"/>
      <c r="I152" s="1243"/>
      <c r="J152" s="1230"/>
      <c r="K152" s="1230"/>
      <c r="L152" s="1230"/>
      <c r="M152" s="690"/>
      <c r="N152" s="690"/>
      <c r="O152" s="690"/>
    </row>
    <row r="153" spans="2:15" s="48" customFormat="1" ht="15.75" customHeight="1" x14ac:dyDescent="0.25">
      <c r="B153" s="1386"/>
      <c r="C153" s="1300"/>
      <c r="D153" s="1243"/>
      <c r="E153" s="673"/>
      <c r="F153" s="1230"/>
      <c r="G153" s="1197"/>
      <c r="H153" s="1197"/>
      <c r="I153" s="1243"/>
      <c r="J153" s="1230"/>
      <c r="K153" s="1230"/>
      <c r="L153" s="1230"/>
      <c r="M153" s="690"/>
      <c r="N153" s="690"/>
      <c r="O153" s="690"/>
    </row>
    <row r="154" spans="2:15" s="48" customFormat="1" ht="15.75" customHeight="1" x14ac:dyDescent="0.25">
      <c r="B154" s="1386"/>
      <c r="C154" s="1300"/>
      <c r="D154" s="1243"/>
      <c r="E154" s="673"/>
      <c r="F154" s="1230"/>
      <c r="G154" s="1197"/>
      <c r="H154" s="1197"/>
      <c r="I154" s="1243"/>
      <c r="J154" s="1230"/>
      <c r="K154" s="1230"/>
      <c r="L154" s="1230"/>
      <c r="M154" s="690"/>
      <c r="N154" s="690"/>
      <c r="O154" s="690"/>
    </row>
    <row r="155" spans="2:15" s="48" customFormat="1" ht="15.75" customHeight="1" x14ac:dyDescent="0.25">
      <c r="B155" s="1386"/>
      <c r="C155" s="1300"/>
      <c r="D155" s="1243"/>
      <c r="E155" s="673"/>
      <c r="F155" s="1230"/>
      <c r="G155" s="1197"/>
      <c r="H155" s="1197"/>
      <c r="I155" s="1243"/>
      <c r="J155" s="1230"/>
      <c r="K155" s="1230"/>
      <c r="L155" s="1230"/>
      <c r="M155" s="690"/>
      <c r="N155" s="690"/>
      <c r="O155" s="690"/>
    </row>
    <row r="156" spans="2:15" s="48" customFormat="1" ht="15.75" customHeight="1" x14ac:dyDescent="0.25">
      <c r="B156" s="1386"/>
      <c r="C156" s="1300"/>
      <c r="D156" s="1243"/>
      <c r="E156" s="1230"/>
      <c r="F156" s="1230"/>
      <c r="G156" s="1197"/>
      <c r="H156" s="1197"/>
      <c r="I156" s="1243"/>
      <c r="J156" s="1230"/>
      <c r="K156" s="1230"/>
      <c r="L156" s="1230"/>
      <c r="M156" s="690"/>
      <c r="N156" s="690"/>
      <c r="O156" s="690"/>
    </row>
    <row r="157" spans="2:15" s="48" customFormat="1" ht="15.75" customHeight="1" x14ac:dyDescent="0.25">
      <c r="B157" s="1386"/>
      <c r="C157" s="1300"/>
      <c r="D157" s="1243"/>
      <c r="E157" s="1230"/>
      <c r="F157" s="1230"/>
      <c r="G157" s="1197"/>
      <c r="H157" s="1197"/>
      <c r="I157" s="1243"/>
      <c r="J157" s="1230"/>
      <c r="K157" s="1230"/>
      <c r="L157" s="1230"/>
      <c r="M157" s="690"/>
      <c r="N157" s="690"/>
      <c r="O157" s="690"/>
    </row>
    <row r="158" spans="2:15" s="48" customFormat="1" ht="15.75" customHeight="1" x14ac:dyDescent="0.25">
      <c r="B158" s="1386"/>
      <c r="C158" s="1300"/>
      <c r="D158" s="1243"/>
      <c r="E158" s="1230"/>
      <c r="F158" s="1230"/>
      <c r="G158" s="1197"/>
      <c r="H158" s="1197"/>
      <c r="I158" s="1243"/>
      <c r="J158" s="1230"/>
      <c r="K158" s="1230"/>
      <c r="L158" s="1230"/>
      <c r="M158" s="690"/>
      <c r="N158" s="690"/>
      <c r="O158" s="690"/>
    </row>
    <row r="159" spans="2:15" s="48" customFormat="1" ht="15.75" customHeight="1" x14ac:dyDescent="0.25">
      <c r="B159" s="1386"/>
      <c r="C159" s="1300"/>
      <c r="D159" s="1243"/>
      <c r="E159" s="673"/>
      <c r="F159" s="1230"/>
      <c r="G159" s="1197"/>
      <c r="H159" s="1197"/>
      <c r="I159" s="1243"/>
      <c r="J159" s="1230"/>
      <c r="K159" s="1230"/>
      <c r="L159" s="1230"/>
      <c r="M159" s="690"/>
      <c r="N159" s="690"/>
      <c r="O159" s="690"/>
    </row>
    <row r="160" spans="2:15" s="48" customFormat="1" ht="15.75" customHeight="1" x14ac:dyDescent="0.25">
      <c r="B160" s="1386"/>
      <c r="C160" s="1300"/>
      <c r="D160" s="1243"/>
      <c r="E160" s="673"/>
      <c r="F160" s="1230"/>
      <c r="G160" s="1197"/>
      <c r="H160" s="1197"/>
      <c r="I160" s="1243"/>
      <c r="J160" s="1230"/>
      <c r="K160" s="1230"/>
      <c r="L160" s="1230"/>
      <c r="M160" s="690"/>
      <c r="N160" s="690"/>
      <c r="O160" s="690"/>
    </row>
    <row r="161" spans="2:15" s="48" customFormat="1" ht="15.75" customHeight="1" x14ac:dyDescent="0.25">
      <c r="B161" s="1386"/>
      <c r="C161" s="1300"/>
      <c r="D161" s="1243"/>
      <c r="E161" s="673"/>
      <c r="F161" s="1230"/>
      <c r="G161" s="1197"/>
      <c r="H161" s="1197"/>
      <c r="I161" s="1243"/>
      <c r="J161" s="1230"/>
      <c r="K161" s="1230"/>
      <c r="L161" s="1230"/>
      <c r="M161" s="690"/>
      <c r="N161" s="690"/>
      <c r="O161" s="690"/>
    </row>
    <row r="162" spans="2:15" s="48" customFormat="1" ht="15.75" customHeight="1" x14ac:dyDescent="0.25">
      <c r="B162" s="1386"/>
      <c r="C162" s="1300"/>
      <c r="D162" s="1243"/>
      <c r="E162" s="673"/>
      <c r="F162" s="1230"/>
      <c r="G162" s="1197"/>
      <c r="H162" s="1197"/>
      <c r="I162" s="1243"/>
      <c r="J162" s="1230"/>
      <c r="K162" s="1230"/>
      <c r="L162" s="1230"/>
      <c r="M162" s="690"/>
      <c r="N162" s="690"/>
      <c r="O162" s="690"/>
    </row>
    <row r="163" spans="2:15" s="48" customFormat="1" ht="15.75" customHeight="1" x14ac:dyDescent="0.25">
      <c r="B163" s="1386"/>
      <c r="C163" s="1300"/>
      <c r="D163" s="1243"/>
      <c r="E163" s="673"/>
      <c r="F163" s="1230"/>
      <c r="G163" s="1197"/>
      <c r="H163" s="1197"/>
      <c r="I163" s="1243"/>
      <c r="J163" s="1230"/>
      <c r="K163" s="1230"/>
      <c r="L163" s="1230"/>
      <c r="M163" s="690"/>
      <c r="N163" s="690"/>
      <c r="O163" s="690"/>
    </row>
    <row r="164" spans="2:15" s="48" customFormat="1" ht="15.75" customHeight="1" x14ac:dyDescent="0.25">
      <c r="B164" s="1386"/>
      <c r="C164" s="1300"/>
      <c r="D164" s="1243"/>
      <c r="E164" s="673"/>
      <c r="F164" s="1230"/>
      <c r="G164" s="1197"/>
      <c r="H164" s="1197"/>
      <c r="I164" s="1243"/>
      <c r="J164" s="1230"/>
      <c r="K164" s="1230"/>
      <c r="L164" s="1230"/>
      <c r="M164" s="690"/>
      <c r="N164" s="690"/>
      <c r="O164" s="690"/>
    </row>
    <row r="165" spans="2:15" s="48" customFormat="1" ht="15.75" customHeight="1" x14ac:dyDescent="0.25">
      <c r="B165" s="1386"/>
      <c r="C165" s="1300"/>
      <c r="D165" s="1243"/>
      <c r="E165" s="673"/>
      <c r="F165" s="1230"/>
      <c r="G165" s="1197"/>
      <c r="H165" s="1197"/>
      <c r="I165" s="1243"/>
      <c r="J165" s="1230"/>
      <c r="K165" s="1230"/>
      <c r="L165" s="1230"/>
      <c r="M165" s="690"/>
      <c r="N165" s="690"/>
      <c r="O165" s="690"/>
    </row>
    <row r="166" spans="2:15" s="48" customFormat="1" ht="15.75" customHeight="1" x14ac:dyDescent="0.25">
      <c r="B166" s="1386"/>
      <c r="C166" s="1300"/>
      <c r="D166" s="1243"/>
      <c r="E166" s="673"/>
      <c r="F166" s="1230"/>
      <c r="G166" s="1197"/>
      <c r="H166" s="1197"/>
      <c r="I166" s="1243"/>
      <c r="J166" s="1230"/>
      <c r="K166" s="1230"/>
      <c r="L166" s="1230"/>
      <c r="M166" s="690"/>
      <c r="N166" s="690"/>
      <c r="O166" s="690"/>
    </row>
    <row r="167" spans="2:15" s="48" customFormat="1" ht="15.75" customHeight="1" x14ac:dyDescent="0.25">
      <c r="B167" s="1386"/>
      <c r="C167" s="1300"/>
      <c r="D167" s="1243"/>
      <c r="E167" s="673"/>
      <c r="F167" s="1230"/>
      <c r="G167" s="1197"/>
      <c r="H167" s="1197"/>
      <c r="I167" s="1243"/>
      <c r="J167" s="1230"/>
      <c r="K167" s="1230"/>
      <c r="L167" s="1230"/>
      <c r="M167" s="690"/>
      <c r="N167" s="690"/>
      <c r="O167" s="690"/>
    </row>
    <row r="168" spans="2:15" s="48" customFormat="1" ht="15.75" customHeight="1" x14ac:dyDescent="0.25">
      <c r="B168" s="1386"/>
      <c r="C168" s="1300"/>
      <c r="D168" s="1243"/>
      <c r="E168" s="673"/>
      <c r="F168" s="1230"/>
      <c r="G168" s="1197"/>
      <c r="H168" s="1197"/>
      <c r="I168" s="1243"/>
      <c r="J168" s="1230"/>
      <c r="K168" s="1230"/>
      <c r="L168" s="1230"/>
      <c r="M168" s="690"/>
      <c r="N168" s="690"/>
      <c r="O168" s="690"/>
    </row>
    <row r="169" spans="2:15" s="48" customFormat="1" ht="15.75" customHeight="1" x14ac:dyDescent="0.25">
      <c r="B169" s="1386"/>
      <c r="C169" s="1300"/>
      <c r="D169" s="1243"/>
      <c r="E169" s="673"/>
      <c r="F169" s="1230"/>
      <c r="G169" s="1197"/>
      <c r="H169" s="1197"/>
      <c r="I169" s="1243"/>
      <c r="J169" s="1230"/>
      <c r="K169" s="1230"/>
      <c r="L169" s="1230"/>
      <c r="M169" s="690"/>
      <c r="N169" s="690"/>
      <c r="O169" s="690"/>
    </row>
    <row r="170" spans="2:15" s="48" customFormat="1" ht="15.75" customHeight="1" x14ac:dyDescent="0.25">
      <c r="B170" s="1386"/>
      <c r="C170" s="1300"/>
      <c r="D170" s="1243"/>
      <c r="E170" s="673"/>
      <c r="F170" s="1230"/>
      <c r="G170" s="1197"/>
      <c r="H170" s="1197"/>
      <c r="I170" s="1243"/>
      <c r="J170" s="1230"/>
      <c r="K170" s="1230"/>
      <c r="L170" s="1230"/>
      <c r="M170" s="690"/>
      <c r="N170" s="690"/>
      <c r="O170" s="690"/>
    </row>
    <row r="171" spans="2:15" s="48" customFormat="1" ht="15.75" customHeight="1" x14ac:dyDescent="0.25">
      <c r="B171" s="1386"/>
      <c r="C171" s="1300"/>
      <c r="D171" s="1243"/>
      <c r="E171" s="673"/>
      <c r="F171" s="1230"/>
      <c r="G171" s="1197"/>
      <c r="H171" s="1197"/>
      <c r="I171" s="1243"/>
      <c r="J171" s="1230"/>
      <c r="K171" s="1230"/>
      <c r="L171" s="1230"/>
      <c r="M171" s="690"/>
      <c r="N171" s="690"/>
      <c r="O171" s="690"/>
    </row>
    <row r="172" spans="2:15" s="48" customFormat="1" ht="15.75" customHeight="1" x14ac:dyDescent="0.25">
      <c r="B172" s="1386"/>
      <c r="C172" s="1300"/>
      <c r="D172" s="1243"/>
      <c r="E172" s="1230"/>
      <c r="F172" s="1230"/>
      <c r="G172" s="1197"/>
      <c r="H172" s="1197"/>
      <c r="I172" s="1243"/>
      <c r="J172" s="1300"/>
      <c r="K172" s="1300"/>
      <c r="L172" s="1300"/>
      <c r="M172" s="690"/>
      <c r="N172" s="690"/>
      <c r="O172" s="690"/>
    </row>
    <row r="173" spans="2:15" s="48" customFormat="1" ht="15.75" customHeight="1" x14ac:dyDescent="0.25">
      <c r="B173" s="1386"/>
      <c r="C173" s="1300"/>
      <c r="D173" s="1243"/>
      <c r="E173" s="1230"/>
      <c r="F173" s="1230"/>
      <c r="G173" s="1197"/>
      <c r="H173" s="1197"/>
      <c r="I173" s="1243"/>
      <c r="J173" s="1300"/>
      <c r="K173" s="1300"/>
      <c r="L173" s="1300"/>
      <c r="M173" s="690"/>
      <c r="N173" s="690"/>
      <c r="O173" s="690"/>
    </row>
    <row r="174" spans="2:15" s="48" customFormat="1" ht="15.75" customHeight="1" x14ac:dyDescent="0.25">
      <c r="B174" s="1386"/>
      <c r="C174" s="1300"/>
      <c r="D174" s="1243"/>
      <c r="E174" s="673"/>
      <c r="F174" s="1230"/>
      <c r="G174" s="1197"/>
      <c r="H174" s="1197"/>
      <c r="I174" s="1243"/>
      <c r="J174" s="1300"/>
      <c r="K174" s="1300"/>
      <c r="L174" s="1300"/>
      <c r="M174" s="690"/>
      <c r="N174" s="690"/>
      <c r="O174" s="690"/>
    </row>
    <row r="175" spans="2:15" s="48" customFormat="1" ht="15.75" customHeight="1" x14ac:dyDescent="0.25">
      <c r="B175" s="1386"/>
      <c r="C175" s="1300"/>
      <c r="D175" s="1243"/>
      <c r="E175" s="673"/>
      <c r="F175" s="1230"/>
      <c r="G175" s="1197"/>
      <c r="H175" s="1197"/>
      <c r="I175" s="1243"/>
      <c r="J175" s="1300"/>
      <c r="K175" s="1300"/>
      <c r="L175" s="1300"/>
      <c r="M175" s="690"/>
      <c r="N175" s="690"/>
      <c r="O175" s="690"/>
    </row>
    <row r="176" spans="2:15" s="48" customFormat="1" ht="15.75" customHeight="1" x14ac:dyDescent="0.25">
      <c r="B176" s="1386"/>
      <c r="C176" s="1300"/>
      <c r="D176" s="1243"/>
      <c r="E176" s="673"/>
      <c r="F176" s="1230"/>
      <c r="G176" s="1197"/>
      <c r="H176" s="1230"/>
      <c r="I176" s="1243"/>
      <c r="J176" s="1230"/>
      <c r="K176" s="1230"/>
      <c r="L176" s="1230"/>
      <c r="M176" s="690"/>
      <c r="N176" s="690"/>
      <c r="O176" s="690"/>
    </row>
    <row r="177" spans="2:15" s="48" customFormat="1" ht="15.75" customHeight="1" x14ac:dyDescent="0.25">
      <c r="B177" s="1386"/>
      <c r="C177" s="1300"/>
      <c r="D177" s="1243"/>
      <c r="E177" s="673"/>
      <c r="F177" s="1230"/>
      <c r="G177" s="1197"/>
      <c r="H177" s="1230"/>
      <c r="I177" s="1243"/>
      <c r="J177" s="1230"/>
      <c r="K177" s="1230"/>
      <c r="L177" s="1230"/>
      <c r="M177" s="690"/>
      <c r="N177" s="690"/>
      <c r="O177" s="690"/>
    </row>
    <row r="178" spans="2:15" s="48" customFormat="1" ht="15.75" customHeight="1" x14ac:dyDescent="0.25">
      <c r="B178" s="1386"/>
      <c r="C178" s="1300"/>
      <c r="D178" s="1243"/>
      <c r="E178" s="673"/>
      <c r="F178" s="1230"/>
      <c r="G178" s="1197"/>
      <c r="H178" s="1230"/>
      <c r="I178" s="1243"/>
      <c r="J178" s="1230"/>
      <c r="K178" s="1230"/>
      <c r="L178" s="1230"/>
      <c r="M178" s="690"/>
      <c r="N178" s="690"/>
      <c r="O178" s="690"/>
    </row>
    <row r="179" spans="2:15" s="48" customFormat="1" ht="15.75" customHeight="1" x14ac:dyDescent="0.25">
      <c r="B179" s="1386"/>
      <c r="C179" s="1300"/>
      <c r="D179" s="1243"/>
      <c r="E179" s="673"/>
      <c r="F179" s="1230"/>
      <c r="G179" s="1197"/>
      <c r="H179" s="1230"/>
      <c r="I179" s="1243"/>
      <c r="J179" s="1230"/>
      <c r="K179" s="1230"/>
      <c r="L179" s="1230"/>
      <c r="M179" s="690"/>
      <c r="N179" s="690"/>
      <c r="O179" s="690"/>
    </row>
    <row r="180" spans="2:15" s="48" customFormat="1" ht="15.75" customHeight="1" x14ac:dyDescent="0.25">
      <c r="B180" s="1386"/>
      <c r="C180" s="1300"/>
      <c r="D180" s="1243"/>
      <c r="E180" s="673"/>
      <c r="F180" s="1243"/>
      <c r="G180" s="1387"/>
      <c r="H180" s="1230"/>
      <c r="I180" s="1243"/>
      <c r="J180" s="1230"/>
      <c r="K180" s="1230"/>
      <c r="L180" s="1230"/>
      <c r="M180" s="690"/>
      <c r="N180" s="690"/>
      <c r="O180" s="690"/>
    </row>
    <row r="181" spans="2:15" s="48" customFormat="1" ht="15.75" customHeight="1" x14ac:dyDescent="0.25">
      <c r="B181" s="1386"/>
      <c r="C181" s="1300"/>
      <c r="D181" s="1243"/>
      <c r="E181" s="673"/>
      <c r="F181" s="1243"/>
      <c r="G181" s="1387"/>
      <c r="H181" s="1230"/>
      <c r="I181" s="1243"/>
      <c r="J181" s="1230"/>
      <c r="K181" s="1230"/>
      <c r="L181" s="1230"/>
      <c r="M181" s="690"/>
      <c r="N181" s="690"/>
      <c r="O181" s="690"/>
    </row>
    <row r="182" spans="2:15" s="48" customFormat="1" ht="15.75" customHeight="1" x14ac:dyDescent="0.25">
      <c r="B182" s="1386"/>
      <c r="C182" s="1300"/>
      <c r="D182" s="1243"/>
      <c r="E182" s="673"/>
      <c r="F182" s="1243"/>
      <c r="G182" s="1387"/>
      <c r="H182" s="1230"/>
      <c r="I182" s="1243"/>
      <c r="J182" s="1230"/>
      <c r="K182" s="1230"/>
      <c r="L182" s="1230"/>
      <c r="M182" s="690"/>
      <c r="N182" s="690"/>
      <c r="O182" s="690"/>
    </row>
    <row r="183" spans="2:15" s="48" customFormat="1" ht="15.75" customHeight="1" x14ac:dyDescent="0.25">
      <c r="B183" s="1386"/>
      <c r="C183" s="1300"/>
      <c r="D183" s="1243"/>
      <c r="E183" s="673"/>
      <c r="F183" s="1243"/>
      <c r="G183" s="1387"/>
      <c r="H183" s="1230"/>
      <c r="I183" s="1243"/>
      <c r="J183" s="1230"/>
      <c r="K183" s="1230"/>
      <c r="L183" s="1230"/>
      <c r="M183" s="690"/>
      <c r="N183" s="690"/>
      <c r="O183" s="690"/>
    </row>
    <row r="184" spans="2:15" s="48" customFormat="1" ht="15.75" customHeight="1" x14ac:dyDescent="0.25">
      <c r="B184" s="1386"/>
      <c r="C184" s="1300"/>
      <c r="D184" s="1243"/>
      <c r="E184" s="673"/>
      <c r="F184" s="1230"/>
      <c r="G184" s="1387"/>
      <c r="H184" s="1230"/>
      <c r="I184" s="1230"/>
      <c r="J184" s="1230"/>
      <c r="K184" s="1230"/>
      <c r="L184" s="1230"/>
      <c r="M184" s="690"/>
      <c r="N184" s="690"/>
      <c r="O184" s="690"/>
    </row>
    <row r="185" spans="2:15" s="48" customFormat="1" ht="15.75" customHeight="1" x14ac:dyDescent="0.25">
      <c r="B185" s="1386"/>
      <c r="C185" s="1300"/>
      <c r="D185" s="1243"/>
      <c r="E185" s="673"/>
      <c r="F185" s="1230"/>
      <c r="G185" s="1387"/>
      <c r="H185" s="1230"/>
      <c r="I185" s="1230"/>
      <c r="J185" s="1230"/>
      <c r="K185" s="1230"/>
      <c r="L185" s="1230"/>
      <c r="M185" s="690"/>
      <c r="N185" s="690"/>
      <c r="O185" s="690"/>
    </row>
    <row r="186" spans="2:15" s="48" customFormat="1" ht="15.75" customHeight="1" x14ac:dyDescent="0.25">
      <c r="B186" s="1386"/>
      <c r="C186" s="1300"/>
      <c r="D186" s="1243"/>
      <c r="E186" s="673"/>
      <c r="F186" s="1230"/>
      <c r="G186" s="1387"/>
      <c r="H186" s="1230"/>
      <c r="I186" s="1230"/>
      <c r="J186" s="1230"/>
      <c r="K186" s="1230"/>
      <c r="L186" s="1230"/>
      <c r="M186" s="690"/>
      <c r="N186" s="690"/>
      <c r="O186" s="690"/>
    </row>
    <row r="187" spans="2:15" s="48" customFormat="1" ht="15.75" customHeight="1" x14ac:dyDescent="0.25">
      <c r="B187" s="1386"/>
      <c r="C187" s="1300"/>
      <c r="D187" s="1243"/>
      <c r="E187" s="673"/>
      <c r="F187" s="1230"/>
      <c r="G187" s="1387"/>
      <c r="H187" s="1230"/>
      <c r="I187" s="1230"/>
      <c r="J187" s="1230"/>
      <c r="K187" s="1230"/>
      <c r="L187" s="1230"/>
      <c r="M187" s="690"/>
      <c r="N187" s="690"/>
      <c r="O187" s="690"/>
    </row>
    <row r="188" spans="2:15" s="48" customFormat="1" ht="15.75" customHeight="1" x14ac:dyDescent="0.25">
      <c r="B188" s="1386"/>
      <c r="C188" s="1300"/>
      <c r="D188" s="1243"/>
      <c r="E188" s="673"/>
      <c r="F188" s="1230"/>
      <c r="G188" s="1387"/>
      <c r="H188" s="1230"/>
      <c r="I188" s="1230"/>
      <c r="J188" s="1230"/>
      <c r="K188" s="1230"/>
      <c r="L188" s="1230"/>
      <c r="M188" s="690"/>
      <c r="N188" s="690"/>
      <c r="O188" s="690"/>
    </row>
    <row r="189" spans="2:15" s="48" customFormat="1" ht="15.75" customHeight="1" x14ac:dyDescent="0.25">
      <c r="B189" s="1386"/>
      <c r="C189" s="1300"/>
      <c r="D189" s="1243"/>
      <c r="E189" s="673"/>
      <c r="F189" s="1230"/>
      <c r="G189" s="1387"/>
      <c r="H189" s="1230"/>
      <c r="I189" s="1230"/>
      <c r="J189" s="1230"/>
      <c r="K189" s="1230"/>
      <c r="L189" s="1230"/>
      <c r="M189" s="690"/>
      <c r="N189" s="690"/>
      <c r="O189" s="690"/>
    </row>
    <row r="190" spans="2:15" s="48" customFormat="1" ht="15.75" customHeight="1" x14ac:dyDescent="0.25">
      <c r="B190" s="1386"/>
      <c r="C190" s="1300"/>
      <c r="D190" s="1243"/>
      <c r="E190" s="673"/>
      <c r="F190" s="1230"/>
      <c r="G190" s="1387"/>
      <c r="H190" s="1230"/>
      <c r="I190" s="1230"/>
      <c r="J190" s="1230"/>
      <c r="K190" s="1230"/>
      <c r="L190" s="1230"/>
      <c r="M190" s="690"/>
      <c r="N190" s="690"/>
      <c r="O190" s="690"/>
    </row>
    <row r="191" spans="2:15" s="48" customFormat="1" ht="15.75" customHeight="1" x14ac:dyDescent="0.25">
      <c r="B191" s="1386"/>
      <c r="C191" s="1300"/>
      <c r="D191" s="1243"/>
      <c r="E191" s="673"/>
      <c r="F191" s="1230"/>
      <c r="G191" s="1387"/>
      <c r="H191" s="1230"/>
      <c r="I191" s="1230"/>
      <c r="J191" s="1230"/>
      <c r="K191" s="1230"/>
      <c r="L191" s="1230"/>
      <c r="M191" s="690"/>
      <c r="N191" s="690"/>
      <c r="O191" s="690"/>
    </row>
    <row r="192" spans="2:15" s="48" customFormat="1" ht="15.75" customHeight="1" x14ac:dyDescent="0.25">
      <c r="B192" s="1386"/>
      <c r="C192" s="1300"/>
      <c r="D192" s="1243"/>
      <c r="E192" s="673"/>
      <c r="F192" s="1230"/>
      <c r="G192" s="1387"/>
      <c r="H192" s="1230"/>
      <c r="I192" s="1230"/>
      <c r="J192" s="1230"/>
      <c r="K192" s="1230"/>
      <c r="L192" s="1230"/>
      <c r="M192" s="690"/>
      <c r="N192" s="690"/>
      <c r="O192" s="690"/>
    </row>
    <row r="193" spans="2:15" s="48" customFormat="1" ht="15.75" customHeight="1" x14ac:dyDescent="0.25">
      <c r="B193" s="1386"/>
      <c r="C193" s="1300"/>
      <c r="D193" s="1243"/>
      <c r="E193" s="673"/>
      <c r="F193" s="1230"/>
      <c r="G193" s="1387"/>
      <c r="H193" s="1230"/>
      <c r="I193" s="1230"/>
      <c r="J193" s="1230"/>
      <c r="K193" s="1230"/>
      <c r="L193" s="1230"/>
      <c r="M193" s="690"/>
      <c r="N193" s="690"/>
      <c r="O193" s="690"/>
    </row>
    <row r="194" spans="2:15" s="48" customFormat="1" ht="15.75" customHeight="1" x14ac:dyDescent="0.25">
      <c r="B194" s="1386"/>
      <c r="C194" s="1300"/>
      <c r="D194" s="1243"/>
      <c r="E194" s="673"/>
      <c r="F194" s="1230"/>
      <c r="G194" s="1387"/>
      <c r="H194" s="1230"/>
      <c r="I194" s="1230"/>
      <c r="J194" s="1230"/>
      <c r="K194" s="1230"/>
      <c r="L194" s="1230"/>
      <c r="M194" s="690"/>
      <c r="N194" s="690"/>
      <c r="O194" s="690"/>
    </row>
    <row r="195" spans="2:15" s="48" customFormat="1" ht="15.75" customHeight="1" x14ac:dyDescent="0.25">
      <c r="B195" s="1386"/>
      <c r="C195" s="1300"/>
      <c r="D195" s="1243"/>
      <c r="E195" s="673"/>
      <c r="F195" s="1230"/>
      <c r="G195" s="1387"/>
      <c r="H195" s="1230"/>
      <c r="I195" s="1230"/>
      <c r="J195" s="1230"/>
      <c r="K195" s="1230"/>
      <c r="L195" s="1230"/>
      <c r="M195" s="690"/>
      <c r="N195" s="690"/>
      <c r="O195" s="690"/>
    </row>
    <row r="196" spans="2:15" s="48" customFormat="1" ht="15.75" customHeight="1" x14ac:dyDescent="0.25">
      <c r="B196" s="1386"/>
      <c r="C196" s="1300"/>
      <c r="D196" s="1243"/>
      <c r="E196" s="673"/>
      <c r="F196" s="1230"/>
      <c r="G196" s="1387"/>
      <c r="H196" s="1230"/>
      <c r="I196" s="1230"/>
      <c r="J196" s="1230"/>
      <c r="K196" s="1230"/>
      <c r="L196" s="1230"/>
      <c r="M196" s="690"/>
      <c r="N196" s="690"/>
      <c r="O196" s="690"/>
    </row>
    <row r="197" spans="2:15" s="48" customFormat="1" ht="15.75" customHeight="1" x14ac:dyDescent="0.25">
      <c r="B197" s="1386"/>
      <c r="C197" s="1300"/>
      <c r="D197" s="1243"/>
      <c r="E197" s="673"/>
      <c r="F197" s="1230"/>
      <c r="G197" s="1387"/>
      <c r="H197" s="1230"/>
      <c r="I197" s="1230"/>
      <c r="J197" s="1230"/>
      <c r="K197" s="1230"/>
      <c r="L197" s="1230"/>
      <c r="M197" s="690"/>
      <c r="N197" s="690"/>
      <c r="O197" s="690"/>
    </row>
    <row r="198" spans="2:15" s="48" customFormat="1" ht="15.75" customHeight="1" x14ac:dyDescent="0.25">
      <c r="B198" s="1386"/>
      <c r="C198" s="1300"/>
      <c r="D198" s="1243"/>
      <c r="E198" s="673"/>
      <c r="F198" s="1230"/>
      <c r="G198" s="1387"/>
      <c r="H198" s="1230"/>
      <c r="I198" s="1230"/>
      <c r="J198" s="1230"/>
      <c r="K198" s="1230"/>
      <c r="L198" s="1230"/>
      <c r="M198" s="690"/>
      <c r="N198" s="690"/>
      <c r="O198" s="690"/>
    </row>
    <row r="199" spans="2:15" s="48" customFormat="1" ht="15.75" customHeight="1" x14ac:dyDescent="0.25">
      <c r="B199" s="1386"/>
      <c r="C199" s="1300"/>
      <c r="D199" s="1243"/>
      <c r="E199" s="673"/>
      <c r="F199" s="1230"/>
      <c r="G199" s="1387"/>
      <c r="H199" s="1230"/>
      <c r="I199" s="1230"/>
      <c r="J199" s="1230"/>
      <c r="K199" s="1230"/>
      <c r="L199" s="1230"/>
      <c r="M199" s="690"/>
      <c r="N199" s="690"/>
      <c r="O199" s="690"/>
    </row>
    <row r="200" spans="2:15" s="48" customFormat="1" ht="15.75" customHeight="1" x14ac:dyDescent="0.25">
      <c r="B200" s="1386"/>
      <c r="C200" s="1300"/>
      <c r="D200" s="1243"/>
      <c r="E200" s="673"/>
      <c r="F200" s="1230"/>
      <c r="G200" s="1387"/>
      <c r="H200" s="1230"/>
      <c r="I200" s="1230"/>
      <c r="J200" s="1230"/>
      <c r="K200" s="1230"/>
      <c r="L200" s="1230"/>
      <c r="M200" s="690"/>
      <c r="N200" s="690"/>
      <c r="O200" s="690"/>
    </row>
    <row r="201" spans="2:15" s="48" customFormat="1" ht="15.75" customHeight="1" x14ac:dyDescent="0.25">
      <c r="B201" s="1386"/>
      <c r="C201" s="1300"/>
      <c r="D201" s="1243"/>
      <c r="E201" s="673"/>
      <c r="F201" s="1230"/>
      <c r="G201" s="1387"/>
      <c r="H201" s="1230"/>
      <c r="I201" s="1230"/>
      <c r="J201" s="1230"/>
      <c r="K201" s="1230"/>
      <c r="L201" s="1230"/>
      <c r="M201" s="690"/>
      <c r="N201" s="690"/>
      <c r="O201" s="690"/>
    </row>
    <row r="202" spans="2:15" s="48" customFormat="1" ht="15.75" customHeight="1" x14ac:dyDescent="0.25">
      <c r="B202" s="1386"/>
      <c r="C202" s="1300"/>
      <c r="D202" s="1243"/>
      <c r="E202" s="673"/>
      <c r="F202" s="1230"/>
      <c r="G202" s="1387"/>
      <c r="H202" s="1230"/>
      <c r="I202" s="1230"/>
      <c r="J202" s="1230"/>
      <c r="K202" s="1230"/>
      <c r="L202" s="1230"/>
      <c r="M202" s="690"/>
      <c r="N202" s="690"/>
      <c r="O202" s="690"/>
    </row>
    <row r="203" spans="2:15" s="48" customFormat="1" ht="15.75" customHeight="1" x14ac:dyDescent="0.25">
      <c r="B203" s="1386"/>
      <c r="C203" s="1300"/>
      <c r="D203" s="1243"/>
      <c r="E203" s="673"/>
      <c r="F203" s="1230"/>
      <c r="G203" s="1387"/>
      <c r="H203" s="1230"/>
      <c r="I203" s="1230"/>
      <c r="J203" s="1230"/>
      <c r="K203" s="1230"/>
      <c r="L203" s="1230"/>
      <c r="M203" s="690"/>
      <c r="N203" s="690"/>
      <c r="O203" s="690"/>
    </row>
    <row r="204" spans="2:15" s="48" customFormat="1" ht="15.75" customHeight="1" x14ac:dyDescent="0.25">
      <c r="B204" s="1386"/>
      <c r="C204" s="1300"/>
      <c r="D204" s="1243"/>
      <c r="E204" s="673"/>
      <c r="F204" s="1230"/>
      <c r="G204" s="1387"/>
      <c r="H204" s="1230"/>
      <c r="I204" s="1230"/>
      <c r="J204" s="1230"/>
      <c r="K204" s="1230"/>
      <c r="L204" s="1230"/>
      <c r="M204" s="690"/>
      <c r="N204" s="690"/>
      <c r="O204" s="690"/>
    </row>
    <row r="205" spans="2:15" s="48" customFormat="1" ht="15.75" customHeight="1" x14ac:dyDescent="0.25">
      <c r="B205" s="1386"/>
      <c r="C205" s="1300"/>
      <c r="D205" s="1243"/>
      <c r="E205" s="673"/>
      <c r="F205" s="1230"/>
      <c r="G205" s="1387"/>
      <c r="H205" s="1230"/>
      <c r="I205" s="1230"/>
      <c r="J205" s="1230"/>
      <c r="K205" s="1230"/>
      <c r="L205" s="1230"/>
      <c r="M205" s="690"/>
      <c r="N205" s="690"/>
      <c r="O205" s="690"/>
    </row>
    <row r="206" spans="2:15" s="48" customFormat="1" ht="15.75" customHeight="1" x14ac:dyDescent="0.25">
      <c r="B206" s="1386"/>
      <c r="C206" s="1300"/>
      <c r="D206" s="1243"/>
      <c r="E206" s="673"/>
      <c r="F206" s="1230"/>
      <c r="G206" s="1387"/>
      <c r="H206" s="1230"/>
      <c r="I206" s="1230"/>
      <c r="J206" s="1230"/>
      <c r="K206" s="1230"/>
      <c r="L206" s="1230"/>
      <c r="M206" s="690"/>
      <c r="N206" s="690"/>
      <c r="O206" s="690"/>
    </row>
    <row r="207" spans="2:15" s="48" customFormat="1" ht="15.75" customHeight="1" x14ac:dyDescent="0.25">
      <c r="B207" s="1386"/>
      <c r="C207" s="1300"/>
      <c r="D207" s="1243"/>
      <c r="E207" s="673"/>
      <c r="F207" s="1230"/>
      <c r="G207" s="1387"/>
      <c r="H207" s="1230"/>
      <c r="I207" s="1230"/>
      <c r="J207" s="1230"/>
      <c r="K207" s="1230"/>
      <c r="L207" s="1230"/>
      <c r="M207" s="690"/>
      <c r="N207" s="690"/>
      <c r="O207" s="690"/>
    </row>
    <row r="208" spans="2:15" s="48" customFormat="1" ht="15.75" customHeight="1" x14ac:dyDescent="0.25">
      <c r="B208" s="1386"/>
      <c r="C208" s="1300"/>
      <c r="D208" s="1243"/>
      <c r="E208" s="673"/>
      <c r="F208" s="1230"/>
      <c r="G208" s="1197"/>
      <c r="H208" s="1230"/>
      <c r="I208" s="1230"/>
      <c r="J208" s="1230"/>
      <c r="K208" s="1230"/>
      <c r="L208" s="1230"/>
      <c r="M208" s="690"/>
      <c r="N208" s="690"/>
      <c r="O208" s="690"/>
    </row>
    <row r="209" spans="2:15" s="48" customFormat="1" ht="15.75" customHeight="1" x14ac:dyDescent="0.25">
      <c r="B209" s="1386"/>
      <c r="C209" s="1300"/>
      <c r="D209" s="1243"/>
      <c r="E209" s="673"/>
      <c r="F209" s="1230"/>
      <c r="G209" s="1197"/>
      <c r="H209" s="1230"/>
      <c r="I209" s="1230"/>
      <c r="J209" s="1230"/>
      <c r="K209" s="1230"/>
      <c r="L209" s="1230"/>
      <c r="M209" s="690"/>
      <c r="N209" s="690"/>
      <c r="O209" s="690"/>
    </row>
    <row r="210" spans="2:15" s="48" customFormat="1" ht="15.75" customHeight="1" x14ac:dyDescent="0.25">
      <c r="B210" s="1386"/>
      <c r="C210" s="1300"/>
      <c r="D210" s="1243"/>
      <c r="E210" s="673"/>
      <c r="F210" s="1230"/>
      <c r="G210" s="1197"/>
      <c r="H210" s="1230"/>
      <c r="I210" s="1230"/>
      <c r="J210" s="1230"/>
      <c r="K210" s="1230"/>
      <c r="L210" s="1230"/>
      <c r="M210" s="690"/>
      <c r="N210" s="690"/>
      <c r="O210" s="690"/>
    </row>
    <row r="211" spans="2:15" s="48" customFormat="1" ht="15.75" customHeight="1" x14ac:dyDescent="0.25">
      <c r="B211" s="1386"/>
      <c r="C211" s="1300"/>
      <c r="D211" s="1243"/>
      <c r="E211" s="673"/>
      <c r="F211" s="1230"/>
      <c r="G211" s="1197"/>
      <c r="H211" s="1230"/>
      <c r="I211" s="1230"/>
      <c r="J211" s="1230"/>
      <c r="K211" s="1230"/>
      <c r="L211" s="1230"/>
      <c r="M211" s="690"/>
      <c r="N211" s="690"/>
      <c r="O211" s="690"/>
    </row>
    <row r="212" spans="2:15" s="48" customFormat="1" ht="15.75" customHeight="1" x14ac:dyDescent="0.25">
      <c r="B212" s="1386"/>
      <c r="C212" s="1300"/>
      <c r="D212" s="1243"/>
      <c r="E212" s="673"/>
      <c r="F212" s="1243"/>
      <c r="G212" s="1197"/>
      <c r="H212" s="1230"/>
      <c r="I212" s="1230"/>
      <c r="J212" s="1300"/>
      <c r="K212" s="1243"/>
      <c r="L212" s="1300"/>
      <c r="M212" s="690"/>
      <c r="N212" s="690"/>
      <c r="O212" s="690"/>
    </row>
    <row r="213" spans="2:15" s="48" customFormat="1" ht="15.75" customHeight="1" x14ac:dyDescent="0.25">
      <c r="B213" s="1386"/>
      <c r="C213" s="1300"/>
      <c r="D213" s="1243"/>
      <c r="E213" s="673"/>
      <c r="F213" s="1243"/>
      <c r="G213" s="1197"/>
      <c r="H213" s="1230"/>
      <c r="I213" s="1230"/>
      <c r="J213" s="1300"/>
      <c r="K213" s="1243"/>
      <c r="L213" s="1300"/>
      <c r="M213" s="690"/>
      <c r="N213" s="690"/>
      <c r="O213" s="690"/>
    </row>
    <row r="214" spans="2:15" s="48" customFormat="1" ht="15.75" customHeight="1" x14ac:dyDescent="0.25">
      <c r="B214" s="1386"/>
      <c r="C214" s="1300"/>
      <c r="D214" s="1243"/>
      <c r="E214" s="673"/>
      <c r="F214" s="1243"/>
      <c r="G214" s="1197"/>
      <c r="H214" s="1230"/>
      <c r="I214" s="1230"/>
      <c r="J214" s="1300"/>
      <c r="K214" s="1243"/>
      <c r="L214" s="1300"/>
      <c r="M214" s="690"/>
      <c r="N214" s="690"/>
      <c r="O214" s="690"/>
    </row>
    <row r="215" spans="2:15" s="48" customFormat="1" ht="15.75" customHeight="1" x14ac:dyDescent="0.25">
      <c r="B215" s="1386"/>
      <c r="C215" s="1300"/>
      <c r="D215" s="1243"/>
      <c r="E215" s="673"/>
      <c r="F215" s="1243"/>
      <c r="G215" s="1197"/>
      <c r="H215" s="1230"/>
      <c r="I215" s="1230"/>
      <c r="J215" s="1300"/>
      <c r="K215" s="1243"/>
      <c r="L215" s="1300"/>
      <c r="M215" s="690"/>
      <c r="N215" s="690"/>
      <c r="O215" s="690"/>
    </row>
    <row r="216" spans="2:15" s="48" customFormat="1" ht="15.75" customHeight="1" x14ac:dyDescent="0.25">
      <c r="B216" s="1386"/>
      <c r="C216" s="1300"/>
      <c r="D216" s="1243"/>
      <c r="E216" s="673"/>
      <c r="F216" s="1243"/>
      <c r="G216" s="1197"/>
      <c r="H216" s="1230"/>
      <c r="I216" s="1230"/>
      <c r="J216" s="1300"/>
      <c r="K216" s="1243"/>
      <c r="L216" s="1300"/>
      <c r="M216" s="690"/>
      <c r="N216" s="690"/>
      <c r="O216" s="690"/>
    </row>
    <row r="217" spans="2:15" s="48" customFormat="1" ht="15.75" customHeight="1" x14ac:dyDescent="0.25">
      <c r="B217" s="1386"/>
      <c r="C217" s="1300"/>
      <c r="D217" s="1243"/>
      <c r="E217" s="673"/>
      <c r="F217" s="1243"/>
      <c r="G217" s="1197"/>
      <c r="H217" s="1230"/>
      <c r="I217" s="1230"/>
      <c r="J217" s="1300"/>
      <c r="K217" s="1243"/>
      <c r="L217" s="1300"/>
      <c r="M217" s="690"/>
      <c r="N217" s="690"/>
      <c r="O217" s="690"/>
    </row>
    <row r="218" spans="2:15" s="48" customFormat="1" ht="15.75" customHeight="1" x14ac:dyDescent="0.25">
      <c r="B218" s="1386"/>
      <c r="C218" s="1300"/>
      <c r="D218" s="1243"/>
      <c r="E218" s="673"/>
      <c r="F218" s="1243"/>
      <c r="G218" s="1197"/>
      <c r="H218" s="1230"/>
      <c r="I218" s="1230"/>
      <c r="J218" s="1300"/>
      <c r="K218" s="1243"/>
      <c r="L218" s="1300"/>
      <c r="M218" s="690"/>
      <c r="N218" s="690"/>
      <c r="O218" s="690"/>
    </row>
    <row r="219" spans="2:15" s="48" customFormat="1" ht="15.75" customHeight="1" x14ac:dyDescent="0.25">
      <c r="B219" s="1386"/>
      <c r="C219" s="1300"/>
      <c r="D219" s="1243"/>
      <c r="E219" s="673"/>
      <c r="F219" s="1243"/>
      <c r="G219" s="1197"/>
      <c r="H219" s="1230"/>
      <c r="I219" s="1230"/>
      <c r="J219" s="1300"/>
      <c r="K219" s="1243"/>
      <c r="L219" s="1300"/>
      <c r="M219" s="690"/>
      <c r="N219" s="690"/>
      <c r="O219" s="690"/>
    </row>
    <row r="220" spans="2:15" s="48" customFormat="1" ht="15.75" customHeight="1" x14ac:dyDescent="0.25">
      <c r="B220" s="1378"/>
      <c r="C220" s="1300"/>
      <c r="D220" s="1243"/>
      <c r="E220" s="673"/>
      <c r="F220" s="1243"/>
      <c r="G220" s="1197"/>
      <c r="H220" s="1230"/>
      <c r="I220" s="1230"/>
      <c r="J220" s="1300"/>
      <c r="K220" s="1243"/>
      <c r="L220" s="1300"/>
      <c r="M220" s="690"/>
      <c r="N220" s="690"/>
      <c r="O220" s="690"/>
    </row>
    <row r="221" spans="2:15" s="48" customFormat="1" ht="15.75" customHeight="1" x14ac:dyDescent="0.25">
      <c r="B221" s="1378"/>
      <c r="C221" s="1300"/>
      <c r="D221" s="1243"/>
      <c r="E221" s="673"/>
      <c r="F221" s="1243"/>
      <c r="G221" s="1197"/>
      <c r="H221" s="1230"/>
      <c r="I221" s="1230"/>
      <c r="J221" s="1300"/>
      <c r="K221" s="1243"/>
      <c r="L221" s="1300"/>
      <c r="M221" s="690"/>
      <c r="N221" s="690"/>
      <c r="O221" s="690"/>
    </row>
    <row r="222" spans="2:15" s="48" customFormat="1" ht="15.75" customHeight="1" x14ac:dyDescent="0.25">
      <c r="B222" s="1378"/>
      <c r="C222" s="1300"/>
      <c r="D222" s="1243"/>
      <c r="E222" s="673"/>
      <c r="F222" s="1243"/>
      <c r="G222" s="1197"/>
      <c r="H222" s="1230"/>
      <c r="I222" s="1230"/>
      <c r="J222" s="1300"/>
      <c r="K222" s="1243"/>
      <c r="L222" s="1300"/>
      <c r="M222" s="690"/>
      <c r="N222" s="690"/>
      <c r="O222" s="690"/>
    </row>
    <row r="223" spans="2:15" s="48" customFormat="1" ht="15.75" customHeight="1" x14ac:dyDescent="0.25">
      <c r="B223" s="1378"/>
      <c r="C223" s="1300"/>
      <c r="D223" s="1243"/>
      <c r="E223" s="673"/>
      <c r="F223" s="1243"/>
      <c r="G223" s="1197"/>
      <c r="H223" s="1230"/>
      <c r="I223" s="1230"/>
      <c r="J223" s="1300"/>
      <c r="K223" s="1243"/>
      <c r="L223" s="1300"/>
      <c r="M223" s="690"/>
      <c r="N223" s="690"/>
      <c r="O223" s="690"/>
    </row>
    <row r="224" spans="2:15" s="48" customFormat="1" ht="15.75" customHeight="1" x14ac:dyDescent="0.25">
      <c r="B224" s="1378"/>
      <c r="C224" s="1300"/>
      <c r="D224" s="1243"/>
      <c r="E224" s="673"/>
      <c r="F224" s="1243"/>
      <c r="G224" s="1197"/>
      <c r="H224" s="1230"/>
      <c r="I224" s="1230"/>
      <c r="J224" s="1300"/>
      <c r="K224" s="1243"/>
      <c r="L224" s="1300"/>
      <c r="M224" s="690"/>
      <c r="N224" s="690"/>
      <c r="O224" s="690"/>
    </row>
    <row r="225" spans="2:15" s="48" customFormat="1" ht="15.75" customHeight="1" x14ac:dyDescent="0.25">
      <c r="B225" s="1378"/>
      <c r="C225" s="1300"/>
      <c r="D225" s="1243"/>
      <c r="E225" s="673"/>
      <c r="F225" s="1243"/>
      <c r="G225" s="1197"/>
      <c r="H225" s="1230"/>
      <c r="I225" s="1230"/>
      <c r="J225" s="1300"/>
      <c r="K225" s="1243"/>
      <c r="L225" s="1300"/>
      <c r="M225" s="690"/>
      <c r="N225" s="690"/>
      <c r="O225" s="690"/>
    </row>
    <row r="226" spans="2:15" s="48" customFormat="1" ht="15.75" customHeight="1" x14ac:dyDescent="0.25">
      <c r="B226" s="1378"/>
      <c r="C226" s="1300"/>
      <c r="D226" s="1243"/>
      <c r="E226" s="673"/>
      <c r="F226" s="1243"/>
      <c r="G226" s="1197"/>
      <c r="H226" s="1230"/>
      <c r="I226" s="1230"/>
      <c r="J226" s="1300"/>
      <c r="K226" s="1243"/>
      <c r="L226" s="1300"/>
      <c r="M226" s="690"/>
      <c r="N226" s="690"/>
      <c r="O226" s="690"/>
    </row>
    <row r="227" spans="2:15" s="48" customFormat="1" ht="15.75" customHeight="1" x14ac:dyDescent="0.25">
      <c r="B227" s="1378"/>
      <c r="C227" s="1300"/>
      <c r="D227" s="1243"/>
      <c r="E227" s="673"/>
      <c r="F227" s="1243"/>
      <c r="G227" s="1197"/>
      <c r="H227" s="1230"/>
      <c r="I227" s="1230"/>
      <c r="J227" s="1300"/>
      <c r="K227" s="1243"/>
      <c r="L227" s="1300"/>
      <c r="M227" s="690"/>
      <c r="N227" s="690"/>
      <c r="O227" s="690"/>
    </row>
    <row r="228" spans="2:15" s="48" customFormat="1" ht="15.75" customHeight="1" x14ac:dyDescent="0.25">
      <c r="B228" s="1378"/>
      <c r="C228" s="1300"/>
      <c r="D228" s="1243"/>
      <c r="E228" s="673"/>
      <c r="F228" s="1243"/>
      <c r="G228" s="1197"/>
      <c r="H228" s="1230"/>
      <c r="I228" s="1230"/>
      <c r="J228" s="1300"/>
      <c r="K228" s="1243"/>
      <c r="L228" s="1300"/>
      <c r="M228" s="690"/>
      <c r="N228" s="690"/>
      <c r="O228" s="690"/>
    </row>
    <row r="229" spans="2:15" s="48" customFormat="1" ht="15.75" customHeight="1" x14ac:dyDescent="0.25">
      <c r="B229" s="1378"/>
      <c r="C229" s="1300"/>
      <c r="D229" s="1243"/>
      <c r="E229" s="673"/>
      <c r="F229" s="1243"/>
      <c r="G229" s="1197"/>
      <c r="H229" s="1230"/>
      <c r="I229" s="1230"/>
      <c r="J229" s="1300"/>
      <c r="K229" s="1243"/>
      <c r="L229" s="1300"/>
      <c r="M229" s="690"/>
      <c r="N229" s="690"/>
      <c r="O229" s="690"/>
    </row>
    <row r="230" spans="2:15" s="48" customFormat="1" ht="15.75" customHeight="1" x14ac:dyDescent="0.25">
      <c r="B230" s="1378"/>
      <c r="C230" s="1300"/>
      <c r="D230" s="1243"/>
      <c r="E230" s="673"/>
      <c r="F230" s="1243"/>
      <c r="G230" s="1197"/>
      <c r="H230" s="1230"/>
      <c r="I230" s="1230"/>
      <c r="J230" s="1300"/>
      <c r="K230" s="1243"/>
      <c r="L230" s="1300"/>
      <c r="M230" s="690"/>
      <c r="N230" s="690"/>
      <c r="O230" s="690"/>
    </row>
    <row r="231" spans="2:15" s="48" customFormat="1" ht="15.75" customHeight="1" x14ac:dyDescent="0.25">
      <c r="B231" s="1378"/>
      <c r="C231" s="1300"/>
      <c r="D231" s="1243"/>
      <c r="E231" s="673"/>
      <c r="F231" s="1243"/>
      <c r="G231" s="1197"/>
      <c r="H231" s="1230"/>
      <c r="I231" s="1230"/>
      <c r="J231" s="1300"/>
      <c r="K231" s="1243"/>
      <c r="L231" s="1300"/>
      <c r="M231" s="690"/>
      <c r="N231" s="690"/>
      <c r="O231" s="690"/>
    </row>
    <row r="232" spans="2:15" s="48" customFormat="1" ht="18" customHeight="1" x14ac:dyDescent="0.25">
      <c r="B232" s="1378"/>
      <c r="C232" s="1300"/>
      <c r="D232" s="1243"/>
      <c r="E232" s="673"/>
      <c r="F232" s="1243"/>
      <c r="G232" s="1197"/>
      <c r="H232" s="1230"/>
      <c r="I232" s="1230"/>
      <c r="J232" s="1300"/>
      <c r="K232" s="1243"/>
      <c r="L232" s="1300"/>
      <c r="M232" s="690"/>
      <c r="N232" s="690"/>
      <c r="O232" s="690"/>
    </row>
    <row r="233" spans="2:15" s="48" customFormat="1" ht="16.5" customHeight="1" x14ac:dyDescent="0.25">
      <c r="B233" s="1378"/>
      <c r="C233" s="1300"/>
      <c r="D233" s="1243"/>
      <c r="E233" s="673"/>
      <c r="F233" s="1243"/>
      <c r="G233" s="1197"/>
      <c r="H233" s="1230"/>
      <c r="I233" s="1230"/>
      <c r="J233" s="1300"/>
      <c r="K233" s="1243"/>
      <c r="L233" s="1300"/>
      <c r="M233" s="690"/>
      <c r="N233" s="690"/>
      <c r="O233" s="690"/>
    </row>
    <row r="234" spans="2:15" s="48" customFormat="1" ht="15.75" customHeight="1" x14ac:dyDescent="0.25">
      <c r="B234" s="1378"/>
      <c r="C234" s="1300"/>
      <c r="D234" s="1243"/>
      <c r="E234" s="673"/>
      <c r="F234" s="1243"/>
      <c r="G234" s="1197"/>
      <c r="H234" s="1230"/>
      <c r="I234" s="1230"/>
      <c r="J234" s="1300"/>
      <c r="K234" s="1243"/>
      <c r="L234" s="1300"/>
      <c r="M234" s="690"/>
      <c r="N234" s="690"/>
      <c r="O234" s="690"/>
    </row>
    <row r="235" spans="2:15" s="48" customFormat="1" ht="15" customHeight="1" x14ac:dyDescent="0.25">
      <c r="B235" s="1378"/>
      <c r="C235" s="1300"/>
      <c r="D235" s="1243"/>
      <c r="E235" s="673"/>
      <c r="F235" s="1243"/>
      <c r="G235" s="1197"/>
      <c r="H235" s="1230"/>
      <c r="I235" s="1230"/>
      <c r="J235" s="1300"/>
      <c r="K235" s="1243"/>
      <c r="L235" s="1300"/>
      <c r="M235" s="690"/>
      <c r="N235" s="690"/>
      <c r="O235" s="690"/>
    </row>
    <row r="236" spans="2:15" s="48" customFormat="1" ht="17.25" customHeight="1" x14ac:dyDescent="0.25">
      <c r="B236" s="1378"/>
      <c r="C236" s="1300"/>
      <c r="D236" s="1243"/>
      <c r="E236" s="673"/>
      <c r="F236" s="1243"/>
      <c r="G236" s="1197"/>
      <c r="H236" s="1230"/>
      <c r="I236" s="1230"/>
      <c r="J236" s="1300"/>
      <c r="K236" s="1243"/>
      <c r="L236" s="1300"/>
      <c r="M236" s="690"/>
      <c r="N236" s="690"/>
      <c r="O236" s="690"/>
    </row>
    <row r="237" spans="2:15" s="48" customFormat="1" ht="18" customHeight="1" x14ac:dyDescent="0.25">
      <c r="B237" s="1378"/>
      <c r="C237" s="1300"/>
      <c r="D237" s="1243"/>
      <c r="E237" s="673"/>
      <c r="F237" s="1243"/>
      <c r="G237" s="1197"/>
      <c r="H237" s="1230"/>
      <c r="I237" s="1230"/>
      <c r="J237" s="1300"/>
      <c r="K237" s="1243"/>
      <c r="L237" s="1300"/>
      <c r="M237" s="690"/>
      <c r="N237" s="690"/>
      <c r="O237" s="690"/>
    </row>
    <row r="238" spans="2:15" s="48" customFormat="1" ht="16.5" customHeight="1" x14ac:dyDescent="0.25">
      <c r="B238" s="1378"/>
      <c r="C238" s="1300"/>
      <c r="D238" s="1243"/>
      <c r="E238" s="673"/>
      <c r="F238" s="1243"/>
      <c r="G238" s="1197"/>
      <c r="H238" s="1230"/>
      <c r="I238" s="1230"/>
      <c r="J238" s="1300"/>
      <c r="K238" s="1243"/>
      <c r="L238" s="1300"/>
      <c r="M238" s="690"/>
      <c r="N238" s="690"/>
      <c r="O238" s="690"/>
    </row>
    <row r="239" spans="2:15" s="48" customFormat="1" ht="15.75" customHeight="1" x14ac:dyDescent="0.25">
      <c r="B239" s="1378"/>
      <c r="C239" s="1300"/>
      <c r="D239" s="1243"/>
      <c r="E239" s="673"/>
      <c r="F239" s="1243"/>
      <c r="G239" s="1197"/>
      <c r="H239" s="1230"/>
      <c r="I239" s="1230"/>
      <c r="J239" s="1300"/>
      <c r="K239" s="1243"/>
      <c r="L239" s="1300"/>
      <c r="M239" s="690"/>
      <c r="N239" s="690"/>
      <c r="O239" s="690"/>
    </row>
    <row r="240" spans="2:15" s="48" customFormat="1" ht="16.5" customHeight="1" x14ac:dyDescent="0.25">
      <c r="B240" s="1378"/>
      <c r="C240" s="1300"/>
      <c r="D240" s="1243"/>
      <c r="E240" s="673"/>
      <c r="F240" s="1243"/>
      <c r="G240" s="1197"/>
      <c r="H240" s="1230"/>
      <c r="I240" s="1230"/>
      <c r="J240" s="1300"/>
      <c r="K240" s="1243"/>
      <c r="L240" s="1300"/>
      <c r="M240" s="690"/>
      <c r="N240" s="690"/>
      <c r="O240" s="690"/>
    </row>
    <row r="241" spans="2:15" s="48" customFormat="1" ht="18" customHeight="1" x14ac:dyDescent="0.25">
      <c r="B241" s="1378"/>
      <c r="C241" s="1300"/>
      <c r="D241" s="1243"/>
      <c r="E241" s="673"/>
      <c r="F241" s="1243"/>
      <c r="G241" s="1197"/>
      <c r="H241" s="1230"/>
      <c r="I241" s="1230"/>
      <c r="J241" s="1300"/>
      <c r="K241" s="1243"/>
      <c r="L241" s="1300"/>
      <c r="M241" s="690"/>
      <c r="N241" s="690"/>
      <c r="O241" s="690"/>
    </row>
    <row r="242" spans="2:15" s="48" customFormat="1" ht="17.25" customHeight="1" x14ac:dyDescent="0.25">
      <c r="B242" s="1378"/>
      <c r="C242" s="1300"/>
      <c r="D242" s="1243"/>
      <c r="E242" s="673"/>
      <c r="F242" s="1243"/>
      <c r="G242" s="1197"/>
      <c r="H242" s="1230"/>
      <c r="I242" s="1230"/>
      <c r="J242" s="1300"/>
      <c r="K242" s="1243"/>
      <c r="L242" s="1300"/>
      <c r="M242" s="690"/>
      <c r="N242" s="690"/>
      <c r="O242" s="690"/>
    </row>
    <row r="243" spans="2:15" s="48" customFormat="1" ht="18.75" customHeight="1" x14ac:dyDescent="0.25">
      <c r="B243" s="1378"/>
      <c r="C243" s="1300"/>
      <c r="D243" s="1243"/>
      <c r="E243" s="673"/>
      <c r="F243" s="1243"/>
      <c r="G243" s="1197"/>
      <c r="H243" s="1230"/>
      <c r="I243" s="1230"/>
      <c r="J243" s="1300"/>
      <c r="K243" s="1243"/>
      <c r="L243" s="1300"/>
      <c r="M243" s="690"/>
      <c r="N243" s="690"/>
      <c r="O243" s="690"/>
    </row>
    <row r="244" spans="2:15" s="48" customFormat="1" ht="18.75" customHeight="1" x14ac:dyDescent="0.25">
      <c r="B244" s="1378"/>
      <c r="C244" s="1300"/>
      <c r="D244" s="1243"/>
      <c r="E244" s="673"/>
      <c r="F244" s="1243"/>
      <c r="G244" s="1197"/>
      <c r="H244" s="1230"/>
      <c r="I244" s="1230"/>
      <c r="J244" s="1300"/>
      <c r="K244" s="1243"/>
      <c r="L244" s="1300"/>
      <c r="M244" s="690"/>
      <c r="N244" s="690"/>
      <c r="O244" s="690"/>
    </row>
    <row r="245" spans="2:15" s="48" customFormat="1" ht="18.75" customHeight="1" x14ac:dyDescent="0.25">
      <c r="B245" s="1378"/>
      <c r="C245" s="1300"/>
      <c r="D245" s="1243"/>
      <c r="E245" s="673"/>
      <c r="F245" s="1243"/>
      <c r="G245" s="1197"/>
      <c r="H245" s="1230"/>
      <c r="I245" s="1230"/>
      <c r="J245" s="1300"/>
      <c r="K245" s="1243"/>
      <c r="L245" s="1300"/>
      <c r="M245" s="690"/>
      <c r="N245" s="690"/>
      <c r="O245" s="690"/>
    </row>
    <row r="246" spans="2:15" s="48" customFormat="1" ht="18.75" customHeight="1" x14ac:dyDescent="0.25">
      <c r="B246" s="1378"/>
      <c r="C246" s="1300"/>
      <c r="D246" s="1243"/>
      <c r="E246" s="673"/>
      <c r="F246" s="1243"/>
      <c r="G246" s="1197"/>
      <c r="H246" s="1230"/>
      <c r="I246" s="1230"/>
      <c r="J246" s="1300"/>
      <c r="K246" s="1243"/>
      <c r="L246" s="1300"/>
      <c r="M246" s="690"/>
      <c r="N246" s="690"/>
      <c r="O246" s="690"/>
    </row>
    <row r="247" spans="2:15" s="48" customFormat="1" ht="18.75" customHeight="1" x14ac:dyDescent="0.25">
      <c r="B247" s="1378"/>
      <c r="C247" s="1300"/>
      <c r="D247" s="1243"/>
      <c r="E247" s="673"/>
      <c r="F247" s="1243"/>
      <c r="G247" s="1197"/>
      <c r="H247" s="1230"/>
      <c r="I247" s="1230"/>
      <c r="J247" s="1300"/>
      <c r="K247" s="1243"/>
      <c r="L247" s="1300"/>
      <c r="M247" s="690"/>
      <c r="N247" s="690"/>
      <c r="O247" s="690"/>
    </row>
    <row r="248" spans="2:15" s="48" customFormat="1" ht="15.75" customHeight="1" x14ac:dyDescent="0.25">
      <c r="B248" s="1378"/>
      <c r="C248" s="1300"/>
      <c r="D248" s="1243"/>
      <c r="E248" s="673"/>
      <c r="F248" s="1243"/>
      <c r="G248" s="1197"/>
      <c r="H248" s="1230"/>
      <c r="I248" s="1230"/>
      <c r="J248" s="1300"/>
      <c r="K248" s="1243"/>
      <c r="L248" s="1300"/>
      <c r="M248" s="690"/>
      <c r="N248" s="690"/>
      <c r="O248" s="690"/>
    </row>
    <row r="249" spans="2:15" s="48" customFormat="1" ht="15" customHeight="1" x14ac:dyDescent="0.25">
      <c r="B249" s="1378"/>
      <c r="C249" s="1300"/>
      <c r="D249" s="1243"/>
      <c r="E249" s="673"/>
      <c r="F249" s="1243"/>
      <c r="G249" s="1197"/>
      <c r="H249" s="1230"/>
      <c r="I249" s="1230"/>
      <c r="J249" s="1300"/>
      <c r="K249" s="1243"/>
      <c r="L249" s="1300"/>
      <c r="M249" s="690"/>
      <c r="N249" s="690"/>
      <c r="O249" s="690"/>
    </row>
    <row r="250" spans="2:15" s="48" customFormat="1" ht="16.5" customHeight="1" x14ac:dyDescent="0.25">
      <c r="B250" s="1378"/>
      <c r="C250" s="1300"/>
      <c r="D250" s="1243"/>
      <c r="E250" s="673"/>
      <c r="F250" s="1243"/>
      <c r="G250" s="1197"/>
      <c r="H250" s="1230"/>
      <c r="I250" s="1230"/>
      <c r="J250" s="1300"/>
      <c r="K250" s="1243"/>
      <c r="L250" s="1300"/>
      <c r="M250" s="690"/>
      <c r="N250" s="690"/>
      <c r="O250" s="690"/>
    </row>
    <row r="251" spans="2:15" s="48" customFormat="1" ht="17.25" customHeight="1" x14ac:dyDescent="0.25">
      <c r="B251" s="1378"/>
      <c r="C251" s="1300"/>
      <c r="D251" s="1243"/>
      <c r="E251" s="673"/>
      <c r="F251" s="1243"/>
      <c r="G251" s="1197"/>
      <c r="H251" s="1230"/>
      <c r="I251" s="1230"/>
      <c r="J251" s="1300"/>
      <c r="K251" s="1243"/>
      <c r="L251" s="1300"/>
      <c r="M251" s="690"/>
      <c r="N251" s="690"/>
      <c r="O251" s="690"/>
    </row>
    <row r="252" spans="2:15" s="48" customFormat="1" ht="14.25" customHeight="1" x14ac:dyDescent="0.25">
      <c r="B252" s="1378"/>
      <c r="C252" s="1300"/>
      <c r="D252" s="1243"/>
      <c r="E252" s="673"/>
      <c r="F252" s="1243"/>
      <c r="G252" s="1197"/>
      <c r="H252" s="1230"/>
      <c r="I252" s="1230"/>
      <c r="J252" s="1300"/>
      <c r="K252" s="1243"/>
      <c r="L252" s="1300"/>
      <c r="M252" s="690"/>
      <c r="N252" s="690"/>
      <c r="O252" s="690"/>
    </row>
    <row r="253" spans="2:15" s="48" customFormat="1" ht="15" customHeight="1" x14ac:dyDescent="0.25">
      <c r="B253" s="1378"/>
      <c r="C253" s="1300"/>
      <c r="D253" s="1243"/>
      <c r="E253" s="673"/>
      <c r="F253" s="1243"/>
      <c r="G253" s="1197"/>
      <c r="H253" s="1230"/>
      <c r="I253" s="1230"/>
      <c r="J253" s="1300"/>
      <c r="K253" s="1243"/>
      <c r="L253" s="1300"/>
      <c r="M253" s="690"/>
      <c r="N253" s="690"/>
      <c r="O253" s="690"/>
    </row>
    <row r="254" spans="2:15" s="48" customFormat="1" ht="14.25" customHeight="1" x14ac:dyDescent="0.25">
      <c r="B254" s="1378"/>
      <c r="C254" s="1300"/>
      <c r="D254" s="1243"/>
      <c r="E254" s="673"/>
      <c r="F254" s="1243"/>
      <c r="G254" s="1197"/>
      <c r="H254" s="1230"/>
      <c r="I254" s="1230"/>
      <c r="J254" s="1300"/>
      <c r="K254" s="1243"/>
      <c r="L254" s="1300"/>
      <c r="M254" s="690"/>
      <c r="N254" s="690"/>
      <c r="O254" s="690"/>
    </row>
    <row r="255" spans="2:15" s="48" customFormat="1" ht="15.75" customHeight="1" x14ac:dyDescent="0.25">
      <c r="B255" s="1378"/>
      <c r="C255" s="1300"/>
      <c r="D255" s="1243"/>
      <c r="E255" s="673"/>
      <c r="F255" s="1243"/>
      <c r="G255" s="1197"/>
      <c r="H255" s="1230"/>
      <c r="I255" s="1230"/>
      <c r="J255" s="1300"/>
      <c r="K255" s="1243"/>
      <c r="L255" s="1300"/>
      <c r="M255" s="690"/>
      <c r="N255" s="690"/>
      <c r="O255" s="690"/>
    </row>
    <row r="256" spans="2:15" s="48" customFormat="1" ht="15.75" customHeight="1" x14ac:dyDescent="0.25">
      <c r="B256" s="1378"/>
      <c r="C256" s="1300"/>
      <c r="D256" s="1243"/>
      <c r="E256" s="673"/>
      <c r="F256" s="1243"/>
      <c r="G256" s="1197"/>
      <c r="H256" s="1230"/>
      <c r="I256" s="1230"/>
      <c r="J256" s="1300"/>
      <c r="K256" s="1243"/>
      <c r="L256" s="1300"/>
      <c r="M256" s="690"/>
      <c r="N256" s="690"/>
      <c r="O256" s="690"/>
    </row>
    <row r="257" spans="2:15" s="48" customFormat="1" ht="15.75" customHeight="1" x14ac:dyDescent="0.25">
      <c r="B257" s="1378"/>
      <c r="C257" s="1300"/>
      <c r="D257" s="1243"/>
      <c r="E257" s="673"/>
      <c r="F257" s="1243"/>
      <c r="G257" s="1197"/>
      <c r="H257" s="1230"/>
      <c r="I257" s="1230"/>
      <c r="J257" s="1300"/>
      <c r="K257" s="1243"/>
      <c r="L257" s="1300"/>
      <c r="M257" s="690"/>
      <c r="N257" s="690"/>
      <c r="O257" s="690"/>
    </row>
    <row r="258" spans="2:15" s="48" customFormat="1" ht="15.75" customHeight="1" x14ac:dyDescent="0.25">
      <c r="B258" s="1378"/>
      <c r="C258" s="1300"/>
      <c r="D258" s="1243"/>
      <c r="E258" s="673"/>
      <c r="F258" s="1243"/>
      <c r="G258" s="1197"/>
      <c r="H258" s="1230"/>
      <c r="I258" s="1230"/>
      <c r="J258" s="1300"/>
      <c r="K258" s="1243"/>
      <c r="L258" s="1300"/>
      <c r="M258" s="690"/>
      <c r="N258" s="690"/>
      <c r="O258" s="690"/>
    </row>
    <row r="259" spans="2:15" s="48" customFormat="1" ht="15.75" customHeight="1" x14ac:dyDescent="0.25">
      <c r="B259" s="1378"/>
      <c r="C259" s="1300"/>
      <c r="D259" s="1243"/>
      <c r="E259" s="673"/>
      <c r="F259" s="1243"/>
      <c r="G259" s="1197"/>
      <c r="H259" s="1230"/>
      <c r="I259" s="1230"/>
      <c r="J259" s="1300"/>
      <c r="K259" s="1243"/>
      <c r="L259" s="1300"/>
      <c r="M259" s="690"/>
      <c r="N259" s="690"/>
      <c r="O259" s="690"/>
    </row>
    <row r="260" spans="2:15" s="48" customFormat="1" ht="15.75" customHeight="1" x14ac:dyDescent="0.25">
      <c r="B260" s="1378"/>
      <c r="C260" s="1300"/>
      <c r="D260" s="1243"/>
      <c r="E260" s="673"/>
      <c r="F260" s="1243"/>
      <c r="G260" s="1197"/>
      <c r="H260" s="1230"/>
      <c r="I260" s="1230"/>
      <c r="J260" s="1300"/>
      <c r="K260" s="1243"/>
      <c r="L260" s="1300"/>
      <c r="M260" s="690"/>
      <c r="N260" s="690"/>
      <c r="O260" s="690"/>
    </row>
    <row r="261" spans="2:15" s="48" customFormat="1" ht="15.75" customHeight="1" x14ac:dyDescent="0.25">
      <c r="B261" s="1378"/>
      <c r="C261" s="1300"/>
      <c r="D261" s="1243"/>
      <c r="E261" s="673"/>
      <c r="F261" s="1243"/>
      <c r="G261" s="1197"/>
      <c r="H261" s="1230"/>
      <c r="I261" s="1230"/>
      <c r="J261" s="1300"/>
      <c r="K261" s="1243"/>
      <c r="L261" s="1300"/>
      <c r="M261" s="690"/>
      <c r="N261" s="690"/>
      <c r="O261" s="690"/>
    </row>
    <row r="262" spans="2:15" s="48" customFormat="1" ht="15.75" customHeight="1" x14ac:dyDescent="0.25">
      <c r="B262" s="1378"/>
      <c r="C262" s="1300"/>
      <c r="D262" s="1243"/>
      <c r="E262" s="673"/>
      <c r="F262" s="1243"/>
      <c r="G262" s="1197"/>
      <c r="H262" s="1230"/>
      <c r="I262" s="1230"/>
      <c r="J262" s="1300"/>
      <c r="K262" s="1243"/>
      <c r="L262" s="1300"/>
      <c r="M262" s="690"/>
      <c r="N262" s="690"/>
      <c r="O262" s="690"/>
    </row>
    <row r="263" spans="2:15" s="48" customFormat="1" ht="15.75" customHeight="1" x14ac:dyDescent="0.25">
      <c r="B263" s="1378"/>
      <c r="C263" s="1300"/>
      <c r="D263" s="1243"/>
      <c r="E263" s="673"/>
      <c r="F263" s="1243"/>
      <c r="G263" s="1197"/>
      <c r="H263" s="1230"/>
      <c r="I263" s="1230"/>
      <c r="J263" s="1300"/>
      <c r="K263" s="1243"/>
      <c r="L263" s="1300"/>
      <c r="M263" s="690"/>
      <c r="N263" s="690"/>
      <c r="O263" s="690"/>
    </row>
    <row r="264" spans="2:15" s="48" customFormat="1" ht="15.75" customHeight="1" x14ac:dyDescent="0.25">
      <c r="B264" s="1378"/>
      <c r="C264" s="1300"/>
      <c r="D264" s="1243"/>
      <c r="E264" s="673"/>
      <c r="F264" s="1243"/>
      <c r="G264" s="1197"/>
      <c r="H264" s="1230"/>
      <c r="I264" s="1230"/>
      <c r="J264" s="1300"/>
      <c r="K264" s="1243"/>
      <c r="L264" s="1300"/>
      <c r="M264" s="690"/>
      <c r="N264" s="690"/>
      <c r="O264" s="690"/>
    </row>
    <row r="265" spans="2:15" s="48" customFormat="1" ht="15.75" customHeight="1" x14ac:dyDescent="0.25">
      <c r="B265" s="1378"/>
      <c r="C265" s="1300"/>
      <c r="D265" s="1243"/>
      <c r="E265" s="673"/>
      <c r="F265" s="1243"/>
      <c r="G265" s="1197"/>
      <c r="H265" s="1230"/>
      <c r="I265" s="1230"/>
      <c r="J265" s="1300"/>
      <c r="K265" s="1243"/>
      <c r="L265" s="1300"/>
      <c r="M265" s="690"/>
      <c r="N265" s="690"/>
      <c r="O265" s="690"/>
    </row>
    <row r="266" spans="2:15" s="48" customFormat="1" ht="15.75" customHeight="1" x14ac:dyDescent="0.25">
      <c r="B266" s="1378"/>
      <c r="C266" s="1300"/>
      <c r="D266" s="1243"/>
      <c r="E266" s="673"/>
      <c r="F266" s="1243"/>
      <c r="G266" s="1197"/>
      <c r="H266" s="1230"/>
      <c r="I266" s="1230"/>
      <c r="J266" s="1300"/>
      <c r="K266" s="1243"/>
      <c r="L266" s="1300"/>
      <c r="M266" s="690"/>
      <c r="N266" s="690"/>
      <c r="O266" s="690"/>
    </row>
    <row r="267" spans="2:15" s="48" customFormat="1" ht="15.75" customHeight="1" x14ac:dyDescent="0.25">
      <c r="B267" s="1378"/>
      <c r="C267" s="1300"/>
      <c r="D267" s="1243"/>
      <c r="E267" s="673"/>
      <c r="F267" s="1243"/>
      <c r="G267" s="1197"/>
      <c r="H267" s="1230"/>
      <c r="I267" s="1230"/>
      <c r="J267" s="1300"/>
      <c r="K267" s="1243"/>
      <c r="L267" s="1300"/>
      <c r="M267" s="690"/>
      <c r="N267" s="690"/>
      <c r="O267" s="690"/>
    </row>
    <row r="268" spans="2:15" s="48" customFormat="1" ht="15.75" customHeight="1" x14ac:dyDescent="0.25">
      <c r="B268" s="1378"/>
      <c r="C268" s="1300"/>
      <c r="D268" s="1243"/>
      <c r="E268" s="673"/>
      <c r="F268" s="1243"/>
      <c r="G268" s="1197"/>
      <c r="H268" s="1230"/>
      <c r="I268" s="1230"/>
      <c r="J268" s="1300"/>
      <c r="K268" s="1243"/>
      <c r="L268" s="1300"/>
      <c r="M268" s="690"/>
      <c r="N268" s="690"/>
      <c r="O268" s="690"/>
    </row>
    <row r="269" spans="2:15" s="48" customFormat="1" ht="15.75" customHeight="1" x14ac:dyDescent="0.25">
      <c r="B269" s="1378"/>
      <c r="C269" s="1300"/>
      <c r="D269" s="1243"/>
      <c r="E269" s="673"/>
      <c r="F269" s="1243"/>
      <c r="G269" s="1197"/>
      <c r="H269" s="1230"/>
      <c r="I269" s="1230"/>
      <c r="J269" s="1300"/>
      <c r="K269" s="1243"/>
      <c r="L269" s="1300"/>
      <c r="M269" s="690"/>
      <c r="N269" s="690"/>
      <c r="O269" s="690"/>
    </row>
    <row r="270" spans="2:15" s="48" customFormat="1" ht="15.75" customHeight="1" x14ac:dyDescent="0.25">
      <c r="B270" s="1378"/>
      <c r="C270" s="1300"/>
      <c r="D270" s="1243"/>
      <c r="E270" s="673"/>
      <c r="F270" s="1243"/>
      <c r="G270" s="1197"/>
      <c r="H270" s="1230"/>
      <c r="I270" s="1230"/>
      <c r="J270" s="1300"/>
      <c r="K270" s="1243"/>
      <c r="L270" s="1300"/>
      <c r="M270" s="690"/>
      <c r="N270" s="690"/>
      <c r="O270" s="690"/>
    </row>
    <row r="271" spans="2:15" s="48" customFormat="1" ht="15.75" customHeight="1" x14ac:dyDescent="0.25">
      <c r="B271" s="1378"/>
      <c r="C271" s="1300"/>
      <c r="D271" s="1243"/>
      <c r="E271" s="673"/>
      <c r="F271" s="1243"/>
      <c r="G271" s="1197"/>
      <c r="H271" s="1230"/>
      <c r="I271" s="1230"/>
      <c r="J271" s="1300"/>
      <c r="K271" s="1243"/>
      <c r="L271" s="1300"/>
      <c r="M271" s="690"/>
      <c r="N271" s="690"/>
      <c r="O271" s="690"/>
    </row>
    <row r="272" spans="2:15" s="48" customFormat="1" ht="15.75" customHeight="1" x14ac:dyDescent="0.25">
      <c r="B272" s="1378"/>
      <c r="C272" s="1300"/>
      <c r="D272" s="1243"/>
      <c r="E272" s="673"/>
      <c r="F272" s="1243"/>
      <c r="G272" s="1197"/>
      <c r="H272" s="1230"/>
      <c r="I272" s="1230"/>
      <c r="J272" s="1300"/>
      <c r="K272" s="1243"/>
      <c r="L272" s="1300"/>
      <c r="M272" s="690"/>
      <c r="N272" s="690"/>
      <c r="O272" s="690"/>
    </row>
    <row r="273" spans="2:15" s="48" customFormat="1" ht="15.75" customHeight="1" x14ac:dyDescent="0.25">
      <c r="B273" s="1378"/>
      <c r="C273" s="1300"/>
      <c r="D273" s="1243"/>
      <c r="E273" s="673"/>
      <c r="F273" s="1243"/>
      <c r="G273" s="1197"/>
      <c r="H273" s="1230"/>
      <c r="I273" s="1230"/>
      <c r="J273" s="1300"/>
      <c r="K273" s="1243"/>
      <c r="L273" s="1300"/>
      <c r="M273" s="690"/>
      <c r="N273" s="690"/>
      <c r="O273" s="690"/>
    </row>
    <row r="274" spans="2:15" s="48" customFormat="1" ht="15.75" customHeight="1" x14ac:dyDescent="0.25">
      <c r="B274" s="1378"/>
      <c r="C274" s="1300"/>
      <c r="D274" s="1243"/>
      <c r="E274" s="673"/>
      <c r="F274" s="1243"/>
      <c r="G274" s="1197"/>
      <c r="H274" s="1230"/>
      <c r="I274" s="1230"/>
      <c r="J274" s="1300"/>
      <c r="K274" s="1243"/>
      <c r="L274" s="1300"/>
      <c r="M274" s="690"/>
      <c r="N274" s="690"/>
      <c r="O274" s="690"/>
    </row>
    <row r="275" spans="2:15" s="48" customFormat="1" ht="15.75" customHeight="1" x14ac:dyDescent="0.25">
      <c r="B275" s="1378"/>
      <c r="C275" s="1300"/>
      <c r="D275" s="1243"/>
      <c r="E275" s="673"/>
      <c r="F275" s="1243"/>
      <c r="G275" s="1197"/>
      <c r="H275" s="1230"/>
      <c r="I275" s="1230"/>
      <c r="J275" s="1300"/>
      <c r="K275" s="1243"/>
      <c r="L275" s="1300"/>
      <c r="M275" s="690"/>
      <c r="N275" s="690"/>
      <c r="O275" s="690"/>
    </row>
    <row r="276" spans="2:15" s="48" customFormat="1" ht="15.75" customHeight="1" x14ac:dyDescent="0.25">
      <c r="B276" s="1378"/>
      <c r="C276" s="1300"/>
      <c r="D276" s="1243"/>
      <c r="E276" s="673"/>
      <c r="F276" s="1243"/>
      <c r="G276" s="1197"/>
      <c r="H276" s="1230"/>
      <c r="I276" s="1230"/>
      <c r="J276" s="1300"/>
      <c r="K276" s="1243"/>
      <c r="L276" s="1300"/>
      <c r="M276" s="690"/>
      <c r="N276" s="690"/>
      <c r="O276" s="690"/>
    </row>
    <row r="277" spans="2:15" s="48" customFormat="1" ht="15.75" customHeight="1" x14ac:dyDescent="0.25">
      <c r="B277" s="1378"/>
      <c r="C277" s="1300"/>
      <c r="D277" s="1243"/>
      <c r="E277" s="673"/>
      <c r="F277" s="1243"/>
      <c r="G277" s="1197"/>
      <c r="H277" s="1230"/>
      <c r="I277" s="1230"/>
      <c r="J277" s="1300"/>
      <c r="K277" s="1243"/>
      <c r="L277" s="1300"/>
      <c r="M277" s="690"/>
      <c r="N277" s="690"/>
      <c r="O277" s="690"/>
    </row>
    <row r="278" spans="2:15" s="48" customFormat="1" ht="15.75" customHeight="1" x14ac:dyDescent="0.25">
      <c r="B278" s="1378"/>
      <c r="C278" s="1300"/>
      <c r="D278" s="1243"/>
      <c r="E278" s="673"/>
      <c r="F278" s="1243"/>
      <c r="G278" s="1197"/>
      <c r="H278" s="1230"/>
      <c r="I278" s="1230"/>
      <c r="J278" s="1300"/>
      <c r="K278" s="1243"/>
      <c r="L278" s="1300"/>
      <c r="M278" s="690"/>
      <c r="N278" s="690"/>
      <c r="O278" s="690"/>
    </row>
    <row r="279" spans="2:15" s="48" customFormat="1" ht="15.75" customHeight="1" x14ac:dyDescent="0.25">
      <c r="B279" s="1378"/>
      <c r="C279" s="1300"/>
      <c r="D279" s="1243"/>
      <c r="E279" s="673"/>
      <c r="F279" s="1243"/>
      <c r="G279" s="1197"/>
      <c r="H279" s="1230"/>
      <c r="I279" s="1230"/>
      <c r="J279" s="1300"/>
      <c r="K279" s="1243"/>
      <c r="L279" s="1300"/>
      <c r="M279" s="690"/>
      <c r="N279" s="690"/>
      <c r="O279" s="690"/>
    </row>
    <row r="280" spans="2:15" s="48" customFormat="1" ht="15.75" customHeight="1" x14ac:dyDescent="0.25">
      <c r="B280" s="1378"/>
      <c r="C280" s="1300"/>
      <c r="D280" s="1243"/>
      <c r="E280" s="673"/>
      <c r="F280" s="1243"/>
      <c r="G280" s="1197"/>
      <c r="H280" s="1230"/>
      <c r="I280" s="1230"/>
      <c r="J280" s="1300"/>
      <c r="K280" s="1243"/>
      <c r="L280" s="1300"/>
      <c r="M280" s="690"/>
      <c r="N280" s="690"/>
      <c r="O280" s="690"/>
    </row>
    <row r="281" spans="2:15" s="48" customFormat="1" ht="15.75" customHeight="1" x14ac:dyDescent="0.25">
      <c r="B281" s="1378"/>
      <c r="C281" s="1300"/>
      <c r="D281" s="1243"/>
      <c r="E281" s="673"/>
      <c r="F281" s="1243"/>
      <c r="G281" s="1197"/>
      <c r="H281" s="1230"/>
      <c r="I281" s="1230"/>
      <c r="J281" s="1300"/>
      <c r="K281" s="1243"/>
      <c r="L281" s="1300"/>
      <c r="M281" s="690"/>
      <c r="N281" s="690"/>
      <c r="O281" s="690"/>
    </row>
    <row r="282" spans="2:15" s="48" customFormat="1" ht="15.75" customHeight="1" x14ac:dyDescent="0.25">
      <c r="B282" s="1378"/>
      <c r="C282" s="1300"/>
      <c r="D282" s="1243"/>
      <c r="E282" s="673"/>
      <c r="F282" s="1243"/>
      <c r="G282" s="1197"/>
      <c r="H282" s="1230"/>
      <c r="I282" s="1230"/>
      <c r="J282" s="1300"/>
      <c r="K282" s="1243"/>
      <c r="L282" s="1300"/>
      <c r="M282" s="690"/>
      <c r="N282" s="690"/>
      <c r="O282" s="690"/>
    </row>
    <row r="283" spans="2:15" s="48" customFormat="1" ht="15.75" customHeight="1" x14ac:dyDescent="0.25">
      <c r="B283" s="1378"/>
      <c r="C283" s="1300"/>
      <c r="D283" s="1243"/>
      <c r="E283" s="673"/>
      <c r="F283" s="1243"/>
      <c r="G283" s="1197"/>
      <c r="H283" s="1230"/>
      <c r="I283" s="1230"/>
      <c r="J283" s="1300"/>
      <c r="K283" s="1243"/>
      <c r="L283" s="1300"/>
      <c r="M283" s="690"/>
      <c r="N283" s="690"/>
      <c r="O283" s="690"/>
    </row>
    <row r="284" spans="2:15" s="48" customFormat="1" ht="15.75" customHeight="1" x14ac:dyDescent="0.25">
      <c r="B284" s="1378"/>
      <c r="C284" s="1300"/>
      <c r="D284" s="1243"/>
      <c r="E284" s="673"/>
      <c r="F284" s="1243"/>
      <c r="G284" s="1197"/>
      <c r="H284" s="1230"/>
      <c r="I284" s="1230"/>
      <c r="J284" s="1300"/>
      <c r="K284" s="1243"/>
      <c r="L284" s="1300"/>
      <c r="M284" s="690"/>
      <c r="N284" s="690"/>
      <c r="O284" s="690"/>
    </row>
    <row r="285" spans="2:15" s="48" customFormat="1" ht="15.75" customHeight="1" x14ac:dyDescent="0.25">
      <c r="B285" s="1378"/>
      <c r="C285" s="1300"/>
      <c r="D285" s="1243"/>
      <c r="E285" s="673"/>
      <c r="F285" s="1243"/>
      <c r="G285" s="1197"/>
      <c r="H285" s="1230"/>
      <c r="I285" s="1230"/>
      <c r="J285" s="1300"/>
      <c r="K285" s="1243"/>
      <c r="L285" s="1300"/>
      <c r="M285" s="690"/>
      <c r="N285" s="690"/>
      <c r="O285" s="690"/>
    </row>
    <row r="286" spans="2:15" s="48" customFormat="1" ht="15.75" customHeight="1" x14ac:dyDescent="0.25">
      <c r="B286" s="1378"/>
      <c r="C286" s="1300"/>
      <c r="D286" s="1243"/>
      <c r="E286" s="673"/>
      <c r="F286" s="1243"/>
      <c r="G286" s="1197"/>
      <c r="H286" s="1230"/>
      <c r="I286" s="1230"/>
      <c r="J286" s="1300"/>
      <c r="K286" s="1243"/>
      <c r="L286" s="1300"/>
      <c r="M286" s="690"/>
      <c r="N286" s="690"/>
      <c r="O286" s="690"/>
    </row>
    <row r="287" spans="2:15" s="48" customFormat="1" ht="15.75" customHeight="1" x14ac:dyDescent="0.25">
      <c r="B287" s="1378"/>
      <c r="C287" s="1300"/>
      <c r="D287" s="1243"/>
      <c r="E287" s="673"/>
      <c r="F287" s="1243"/>
      <c r="G287" s="1197"/>
      <c r="H287" s="1230"/>
      <c r="I287" s="1230"/>
      <c r="J287" s="1300"/>
      <c r="K287" s="1243"/>
      <c r="L287" s="1300"/>
      <c r="M287" s="690"/>
      <c r="N287" s="690"/>
      <c r="O287" s="690"/>
    </row>
    <row r="288" spans="2:15" s="48" customFormat="1" ht="15.75" customHeight="1" x14ac:dyDescent="0.25">
      <c r="C288" s="1300"/>
      <c r="D288" s="1243"/>
      <c r="E288" s="673"/>
      <c r="F288" s="1243"/>
      <c r="G288" s="1197"/>
      <c r="H288" s="1230"/>
      <c r="I288" s="1230"/>
      <c r="J288" s="1300"/>
      <c r="K288" s="1243"/>
      <c r="L288" s="1300"/>
      <c r="M288" s="690"/>
      <c r="N288" s="690"/>
      <c r="O288" s="690"/>
    </row>
    <row r="289" spans="3:15" s="48" customFormat="1" ht="15.75" customHeight="1" x14ac:dyDescent="0.25">
      <c r="C289" s="1300"/>
      <c r="D289" s="1243"/>
      <c r="E289" s="673"/>
      <c r="F289" s="1243"/>
      <c r="G289" s="1197"/>
      <c r="H289" s="1230"/>
      <c r="I289" s="1230"/>
      <c r="J289" s="1300"/>
      <c r="K289" s="1243"/>
      <c r="L289" s="1300"/>
      <c r="M289" s="690"/>
      <c r="N289" s="690"/>
      <c r="O289" s="690"/>
    </row>
    <row r="290" spans="3:15" s="48" customFormat="1" ht="15.75" customHeight="1" x14ac:dyDescent="0.25">
      <c r="C290" s="1300"/>
      <c r="D290" s="1243"/>
      <c r="E290" s="673"/>
      <c r="F290" s="1243"/>
      <c r="G290" s="1197"/>
      <c r="H290" s="1230"/>
      <c r="I290" s="1230"/>
      <c r="J290" s="1300"/>
      <c r="K290" s="1243"/>
      <c r="L290" s="1300"/>
      <c r="M290" s="690"/>
      <c r="N290" s="690"/>
      <c r="O290" s="690"/>
    </row>
    <row r="291" spans="3:15" s="48" customFormat="1" ht="15.75" customHeight="1" x14ac:dyDescent="0.25">
      <c r="C291" s="1300"/>
      <c r="D291" s="1243"/>
      <c r="E291" s="673"/>
      <c r="F291" s="1243"/>
      <c r="G291" s="1197"/>
      <c r="H291" s="1230"/>
      <c r="I291" s="1230"/>
      <c r="J291" s="1300"/>
      <c r="K291" s="1243"/>
      <c r="L291" s="1300"/>
      <c r="M291" s="690"/>
      <c r="N291" s="690"/>
      <c r="O291" s="690"/>
    </row>
    <row r="292" spans="3:15" s="48" customFormat="1" ht="15.75" customHeight="1" x14ac:dyDescent="0.25">
      <c r="C292" s="1300"/>
      <c r="D292" s="1243"/>
      <c r="E292" s="673"/>
      <c r="F292" s="1243"/>
      <c r="G292" s="1197"/>
      <c r="H292" s="1230"/>
      <c r="I292" s="1230"/>
      <c r="J292" s="1300"/>
      <c r="K292" s="1243"/>
      <c r="L292" s="1300"/>
      <c r="M292" s="690"/>
      <c r="N292" s="690"/>
      <c r="O292" s="690"/>
    </row>
    <row r="293" spans="3:15" s="48" customFormat="1" ht="15.75" customHeight="1" x14ac:dyDescent="0.25">
      <c r="C293" s="1300"/>
      <c r="D293" s="1243"/>
      <c r="E293" s="673"/>
      <c r="F293" s="1243"/>
      <c r="G293" s="1197"/>
      <c r="H293" s="1230"/>
      <c r="I293" s="1230"/>
      <c r="J293" s="1300"/>
      <c r="K293" s="1243"/>
      <c r="L293" s="1300"/>
      <c r="M293" s="690"/>
      <c r="N293" s="690"/>
      <c r="O293" s="690"/>
    </row>
    <row r="294" spans="3:15" s="48" customFormat="1" ht="15.75" customHeight="1" x14ac:dyDescent="0.25">
      <c r="C294" s="1300"/>
      <c r="D294" s="1243"/>
      <c r="E294" s="673"/>
      <c r="F294" s="1243"/>
      <c r="G294" s="1197"/>
      <c r="H294" s="1230"/>
      <c r="I294" s="1230"/>
      <c r="J294" s="1300"/>
      <c r="K294" s="1243"/>
      <c r="L294" s="1300"/>
      <c r="M294" s="690"/>
      <c r="N294" s="690"/>
      <c r="O294" s="690"/>
    </row>
    <row r="295" spans="3:15" s="48" customFormat="1" ht="15.75" customHeight="1" x14ac:dyDescent="0.25">
      <c r="C295" s="1300"/>
      <c r="D295" s="1243"/>
      <c r="E295" s="673"/>
      <c r="F295" s="1243"/>
      <c r="G295" s="1197"/>
      <c r="H295" s="1230"/>
      <c r="I295" s="1230"/>
      <c r="J295" s="1300"/>
      <c r="K295" s="1243"/>
      <c r="L295" s="1300"/>
      <c r="M295" s="690"/>
      <c r="N295" s="690"/>
      <c r="O295" s="690"/>
    </row>
    <row r="296" spans="3:15" s="48" customFormat="1" ht="15.75" customHeight="1" x14ac:dyDescent="0.25">
      <c r="C296" s="1300"/>
      <c r="D296" s="1243"/>
      <c r="E296" s="673"/>
      <c r="F296" s="1243"/>
      <c r="G296" s="1197"/>
      <c r="H296" s="1230"/>
      <c r="I296" s="1230"/>
      <c r="J296" s="1300"/>
      <c r="K296" s="1243"/>
      <c r="L296" s="1300"/>
      <c r="M296" s="690"/>
      <c r="N296" s="690"/>
      <c r="O296" s="690"/>
    </row>
    <row r="297" spans="3:15" s="48" customFormat="1" ht="15.75" customHeight="1" x14ac:dyDescent="0.25">
      <c r="C297" s="1300"/>
      <c r="D297" s="1243"/>
      <c r="E297" s="673"/>
      <c r="F297" s="1243"/>
      <c r="G297" s="1197"/>
      <c r="H297" s="1230"/>
      <c r="I297" s="1230"/>
      <c r="J297" s="1300"/>
      <c r="K297" s="1243"/>
      <c r="L297" s="1300"/>
      <c r="M297" s="690"/>
      <c r="N297" s="690"/>
      <c r="O297" s="690"/>
    </row>
    <row r="298" spans="3:15" s="48" customFormat="1" ht="15.75" customHeight="1" x14ac:dyDescent="0.25">
      <c r="C298" s="1300"/>
      <c r="D298" s="1243"/>
      <c r="E298" s="673"/>
      <c r="F298" s="1243"/>
      <c r="G298" s="1197"/>
      <c r="H298" s="1230"/>
      <c r="I298" s="1230"/>
      <c r="J298" s="1300"/>
      <c r="K298" s="1243"/>
      <c r="L298" s="1300"/>
      <c r="M298" s="690"/>
      <c r="N298" s="690"/>
      <c r="O298" s="690"/>
    </row>
    <row r="299" spans="3:15" s="48" customFormat="1" ht="15.75" customHeight="1" x14ac:dyDescent="0.25">
      <c r="C299" s="1300"/>
      <c r="D299" s="1243"/>
      <c r="E299" s="673"/>
      <c r="F299" s="1243"/>
      <c r="G299" s="1197"/>
      <c r="H299" s="1230"/>
      <c r="I299" s="1230"/>
      <c r="J299" s="1300"/>
      <c r="K299" s="1243"/>
      <c r="L299" s="1300"/>
      <c r="M299" s="690"/>
      <c r="N299" s="690"/>
      <c r="O299" s="690"/>
    </row>
    <row r="300" spans="3:15" s="48" customFormat="1" ht="40.5" customHeight="1" x14ac:dyDescent="0.25">
      <c r="C300" s="684"/>
      <c r="D300" s="1243"/>
      <c r="E300" s="673"/>
      <c r="F300" s="1243"/>
      <c r="G300" s="1197"/>
      <c r="H300" s="1230"/>
      <c r="I300" s="1230"/>
      <c r="J300" s="1300"/>
      <c r="K300" s="1243"/>
      <c r="L300" s="1300"/>
      <c r="M300" s="690"/>
      <c r="N300" s="690"/>
      <c r="O300" s="690"/>
    </row>
    <row r="301" spans="3:15" s="48" customFormat="1" ht="40.5" customHeight="1" x14ac:dyDescent="0.25">
      <c r="C301" s="684"/>
      <c r="D301" s="1243"/>
      <c r="E301" s="673"/>
      <c r="F301" s="1243"/>
      <c r="G301" s="1197"/>
      <c r="H301" s="1230"/>
      <c r="I301" s="1230"/>
      <c r="J301" s="1300"/>
      <c r="K301" s="1243"/>
      <c r="L301" s="1300"/>
      <c r="M301" s="690"/>
      <c r="N301" s="690"/>
      <c r="O301" s="690"/>
    </row>
    <row r="302" spans="3:15" s="48" customFormat="1" ht="40.5" customHeight="1" x14ac:dyDescent="0.25">
      <c r="C302" s="684"/>
      <c r="D302" s="1243"/>
      <c r="E302" s="673"/>
      <c r="F302" s="1243"/>
      <c r="G302" s="1197"/>
      <c r="H302" s="1230"/>
      <c r="I302" s="1230"/>
      <c r="J302" s="1300"/>
      <c r="K302" s="1243"/>
      <c r="L302" s="1300"/>
      <c r="M302" s="690"/>
      <c r="N302" s="690"/>
      <c r="O302" s="690"/>
    </row>
    <row r="303" spans="3:15" s="48" customFormat="1" ht="40.5" customHeight="1" x14ac:dyDescent="0.25">
      <c r="C303" s="684"/>
      <c r="D303" s="1243"/>
      <c r="E303" s="673"/>
      <c r="F303" s="1243"/>
      <c r="G303" s="1197"/>
      <c r="H303" s="1230"/>
      <c r="I303" s="1230"/>
      <c r="J303" s="1300"/>
      <c r="K303" s="1243"/>
      <c r="L303" s="1300"/>
      <c r="M303" s="690"/>
      <c r="N303" s="690"/>
      <c r="O303" s="690"/>
    </row>
    <row r="304" spans="3:15" s="48" customFormat="1" x14ac:dyDescent="0.25">
      <c r="C304" s="684"/>
      <c r="D304" s="1243"/>
      <c r="E304" s="673"/>
      <c r="F304" s="1243"/>
      <c r="G304" s="1197"/>
      <c r="H304" s="1230"/>
      <c r="I304" s="1230"/>
      <c r="J304" s="1300"/>
      <c r="K304" s="1243"/>
      <c r="L304" s="1300"/>
      <c r="M304" s="690"/>
      <c r="N304" s="690"/>
      <c r="O304" s="690"/>
    </row>
    <row r="305" spans="3:15" s="48" customFormat="1" x14ac:dyDescent="0.25">
      <c r="C305" s="684"/>
      <c r="D305" s="1243"/>
      <c r="E305" s="673"/>
      <c r="F305" s="1243"/>
      <c r="G305" s="1197"/>
      <c r="H305" s="1230"/>
      <c r="I305" s="1230"/>
      <c r="J305" s="1300"/>
      <c r="K305" s="1243"/>
      <c r="L305" s="1300"/>
      <c r="M305" s="690"/>
      <c r="N305" s="690"/>
      <c r="O305" s="690"/>
    </row>
    <row r="306" spans="3:15" s="48" customFormat="1" x14ac:dyDescent="0.25">
      <c r="C306" s="684"/>
      <c r="D306" s="1243"/>
      <c r="E306" s="673"/>
      <c r="F306" s="1243"/>
      <c r="G306" s="1197"/>
      <c r="H306" s="1230"/>
      <c r="I306" s="1230"/>
      <c r="J306" s="1300"/>
      <c r="K306" s="1243"/>
      <c r="L306" s="1300"/>
      <c r="M306" s="690"/>
      <c r="N306" s="690"/>
      <c r="O306" s="690"/>
    </row>
    <row r="307" spans="3:15" s="48" customFormat="1" x14ac:dyDescent="0.25">
      <c r="C307" s="684"/>
      <c r="D307" s="1243"/>
      <c r="E307" s="673"/>
      <c r="F307" s="1243"/>
      <c r="G307" s="1197"/>
      <c r="H307" s="1230"/>
      <c r="I307" s="1230"/>
      <c r="J307" s="1300"/>
      <c r="K307" s="1243"/>
      <c r="L307" s="1300"/>
      <c r="M307" s="690"/>
      <c r="N307" s="690"/>
      <c r="O307" s="690"/>
    </row>
    <row r="308" spans="3:15" s="48" customFormat="1" x14ac:dyDescent="0.25">
      <c r="C308" s="684"/>
      <c r="D308" s="1243"/>
      <c r="E308" s="673"/>
      <c r="F308" s="1243"/>
      <c r="G308" s="1197"/>
      <c r="H308" s="1230"/>
      <c r="I308" s="1230"/>
      <c r="J308" s="1300"/>
      <c r="K308" s="1243"/>
      <c r="L308" s="1300"/>
      <c r="M308" s="690"/>
      <c r="N308" s="690"/>
      <c r="O308" s="690"/>
    </row>
    <row r="309" spans="3:15" s="48" customFormat="1" x14ac:dyDescent="0.25">
      <c r="C309" s="684"/>
      <c r="D309" s="1243"/>
      <c r="E309" s="673"/>
      <c r="F309" s="1243"/>
      <c r="G309" s="1197"/>
      <c r="H309" s="1230"/>
      <c r="I309" s="1230"/>
      <c r="J309" s="1300"/>
      <c r="K309" s="1243"/>
      <c r="L309" s="1300"/>
      <c r="M309" s="690"/>
      <c r="N309" s="690"/>
      <c r="O309" s="690"/>
    </row>
    <row r="310" spans="3:15" s="48" customFormat="1" x14ac:dyDescent="0.25">
      <c r="C310" s="684"/>
      <c r="D310" s="1243"/>
      <c r="E310" s="673"/>
      <c r="F310" s="1243"/>
      <c r="G310" s="1197"/>
      <c r="H310" s="1230"/>
      <c r="I310" s="1230"/>
      <c r="J310" s="1300"/>
      <c r="K310" s="1243"/>
      <c r="L310" s="1300"/>
      <c r="M310" s="690"/>
      <c r="N310" s="690"/>
      <c r="O310" s="690"/>
    </row>
    <row r="311" spans="3:15" s="48" customFormat="1" x14ac:dyDescent="0.25">
      <c r="C311" s="684"/>
      <c r="D311" s="1243"/>
      <c r="E311" s="673"/>
      <c r="F311" s="1243"/>
      <c r="G311" s="1197"/>
      <c r="H311" s="1230"/>
      <c r="I311" s="1230"/>
      <c r="J311" s="1300"/>
      <c r="K311" s="1243"/>
      <c r="L311" s="1300"/>
      <c r="M311" s="690"/>
      <c r="N311" s="690"/>
      <c r="O311" s="690"/>
    </row>
    <row r="312" spans="3:15" s="48" customFormat="1" x14ac:dyDescent="0.25">
      <c r="C312" s="684"/>
      <c r="D312" s="1243"/>
      <c r="E312" s="673"/>
      <c r="F312" s="1243"/>
      <c r="G312" s="1197"/>
      <c r="H312" s="1230"/>
      <c r="I312" s="1230"/>
      <c r="J312" s="1300"/>
      <c r="K312" s="1243"/>
      <c r="L312" s="1300"/>
      <c r="M312" s="690"/>
      <c r="N312" s="690"/>
      <c r="O312" s="690"/>
    </row>
    <row r="313" spans="3:15" s="48" customFormat="1" x14ac:dyDescent="0.25">
      <c r="C313" s="684"/>
      <c r="D313" s="1243"/>
      <c r="E313" s="673"/>
      <c r="F313" s="1243"/>
      <c r="G313" s="1197"/>
      <c r="H313" s="1230"/>
      <c r="I313" s="1230"/>
      <c r="J313" s="1300"/>
      <c r="K313" s="1243"/>
      <c r="L313" s="1300"/>
      <c r="M313" s="690"/>
      <c r="N313" s="690"/>
      <c r="O313" s="690"/>
    </row>
    <row r="314" spans="3:15" s="48" customFormat="1" x14ac:dyDescent="0.25">
      <c r="C314" s="684"/>
      <c r="D314" s="1243"/>
      <c r="E314" s="673"/>
      <c r="F314" s="1243"/>
      <c r="G314" s="1197"/>
      <c r="H314" s="1230"/>
      <c r="I314" s="1230"/>
      <c r="J314" s="1300"/>
      <c r="K314" s="1243"/>
      <c r="L314" s="1300"/>
      <c r="M314" s="690"/>
      <c r="N314" s="690"/>
      <c r="O314" s="690"/>
    </row>
    <row r="315" spans="3:15" s="48" customFormat="1" x14ac:dyDescent="0.25">
      <c r="C315" s="684"/>
      <c r="D315" s="1243"/>
      <c r="E315" s="673"/>
      <c r="F315" s="1243"/>
      <c r="G315" s="1197"/>
      <c r="H315" s="1230"/>
      <c r="I315" s="1230"/>
      <c r="J315" s="1300"/>
      <c r="K315" s="1243"/>
      <c r="L315" s="1300"/>
      <c r="M315" s="690"/>
      <c r="N315" s="690"/>
      <c r="O315" s="690"/>
    </row>
    <row r="316" spans="3:15" s="48" customFormat="1" x14ac:dyDescent="0.25">
      <c r="D316" s="1243"/>
      <c r="E316" s="673"/>
      <c r="F316" s="1243"/>
      <c r="G316" s="1197"/>
      <c r="H316" s="1230"/>
      <c r="I316" s="1230"/>
      <c r="J316" s="1300"/>
      <c r="K316" s="1243"/>
      <c r="L316" s="1300"/>
      <c r="M316" s="690"/>
      <c r="N316" s="690"/>
      <c r="O316" s="690"/>
    </row>
    <row r="317" spans="3:15" s="48" customFormat="1" x14ac:dyDescent="0.25">
      <c r="D317" s="1243"/>
      <c r="E317" s="673"/>
      <c r="F317" s="1243"/>
      <c r="G317" s="1197"/>
      <c r="H317" s="1230"/>
      <c r="I317" s="1230"/>
      <c r="J317" s="1300"/>
      <c r="K317" s="1243"/>
      <c r="L317" s="1300"/>
      <c r="M317" s="690"/>
      <c r="N317" s="690"/>
      <c r="O317" s="690"/>
    </row>
    <row r="318" spans="3:15" s="48" customFormat="1" x14ac:dyDescent="0.25">
      <c r="D318" s="1243"/>
      <c r="E318" s="673"/>
      <c r="F318" s="1243"/>
      <c r="G318" s="1197"/>
      <c r="H318" s="1230"/>
      <c r="I318" s="1230"/>
      <c r="J318" s="1300"/>
      <c r="K318" s="1243"/>
      <c r="L318" s="1300"/>
      <c r="M318" s="690"/>
      <c r="N318" s="690"/>
      <c r="O318" s="690"/>
    </row>
    <row r="319" spans="3:15" s="48" customFormat="1" x14ac:dyDescent="0.25">
      <c r="D319" s="1243"/>
      <c r="E319" s="673"/>
      <c r="F319" s="1243"/>
      <c r="G319" s="1197"/>
      <c r="H319" s="1230"/>
      <c r="I319" s="1230"/>
      <c r="J319" s="1300"/>
      <c r="K319" s="1243"/>
      <c r="L319" s="1300"/>
      <c r="M319" s="690"/>
      <c r="N319" s="690"/>
      <c r="O319" s="690"/>
    </row>
    <row r="320" spans="3:15" s="48" customFormat="1" x14ac:dyDescent="0.25">
      <c r="D320" s="1243"/>
      <c r="E320" s="673"/>
      <c r="F320" s="1379"/>
      <c r="G320" s="1197"/>
      <c r="H320" s="1230"/>
      <c r="I320" s="1230"/>
      <c r="J320" s="1300"/>
      <c r="K320" s="1243"/>
      <c r="L320" s="1300"/>
      <c r="M320" s="690"/>
      <c r="N320" s="690"/>
      <c r="O320" s="690"/>
    </row>
    <row r="321" spans="4:15" s="48" customFormat="1" x14ac:dyDescent="0.25">
      <c r="D321" s="1243"/>
      <c r="E321" s="673"/>
      <c r="F321" s="1379"/>
      <c r="G321" s="1197"/>
      <c r="H321" s="1230"/>
      <c r="I321" s="1230"/>
      <c r="J321" s="1300"/>
      <c r="K321" s="1243"/>
      <c r="L321" s="1300"/>
      <c r="M321" s="690"/>
      <c r="N321" s="690"/>
      <c r="O321" s="690"/>
    </row>
    <row r="322" spans="4:15" s="48" customFormat="1" x14ac:dyDescent="0.25">
      <c r="D322" s="1243"/>
      <c r="E322" s="673"/>
      <c r="F322" s="1379"/>
      <c r="G322" s="1197"/>
      <c r="H322" s="1230"/>
      <c r="I322" s="1230"/>
      <c r="J322" s="1300"/>
      <c r="K322" s="1243"/>
      <c r="L322" s="1300"/>
      <c r="M322" s="690"/>
      <c r="N322" s="690"/>
      <c r="O322" s="690"/>
    </row>
    <row r="323" spans="4:15" s="48" customFormat="1" x14ac:dyDescent="0.25">
      <c r="D323" s="1243"/>
      <c r="E323" s="673"/>
      <c r="F323" s="1379"/>
      <c r="G323" s="1197"/>
      <c r="H323" s="1230"/>
      <c r="I323" s="1230"/>
      <c r="J323" s="1300"/>
      <c r="K323" s="1243"/>
      <c r="L323" s="1300"/>
      <c r="M323" s="690"/>
      <c r="N323" s="690"/>
      <c r="O323" s="690"/>
    </row>
    <row r="324" spans="4:15" s="48" customFormat="1" x14ac:dyDescent="0.25">
      <c r="D324" s="1243"/>
      <c r="E324" s="673"/>
      <c r="F324" s="1379"/>
      <c r="G324" s="1197"/>
      <c r="H324" s="1230"/>
      <c r="I324" s="1230"/>
      <c r="J324" s="1300"/>
      <c r="K324" s="1243"/>
      <c r="L324" s="1300"/>
      <c r="M324" s="690"/>
      <c r="N324" s="690"/>
      <c r="O324" s="690"/>
    </row>
    <row r="325" spans="4:15" s="48" customFormat="1" x14ac:dyDescent="0.25">
      <c r="D325" s="1243"/>
      <c r="E325" s="673"/>
      <c r="F325" s="1379"/>
      <c r="G325" s="1197"/>
      <c r="H325" s="1230"/>
      <c r="I325" s="1230"/>
      <c r="J325" s="1300"/>
      <c r="K325" s="1243"/>
      <c r="L325" s="1300"/>
      <c r="M325" s="690"/>
      <c r="N325" s="690"/>
      <c r="O325" s="690"/>
    </row>
    <row r="326" spans="4:15" s="48" customFormat="1" x14ac:dyDescent="0.25">
      <c r="D326" s="1243"/>
      <c r="E326" s="673"/>
      <c r="F326" s="1379"/>
      <c r="G326" s="1197"/>
      <c r="H326" s="1230"/>
      <c r="I326" s="1230"/>
      <c r="J326" s="1300"/>
      <c r="K326" s="1243"/>
      <c r="L326" s="1300"/>
      <c r="M326" s="690"/>
      <c r="N326" s="690"/>
      <c r="O326" s="690"/>
    </row>
    <row r="327" spans="4:15" s="48" customFormat="1" x14ac:dyDescent="0.25">
      <c r="D327" s="1243"/>
      <c r="E327" s="673"/>
      <c r="F327" s="1379"/>
      <c r="G327" s="1197"/>
      <c r="H327" s="1230"/>
      <c r="I327" s="1230"/>
      <c r="J327" s="1300"/>
      <c r="K327" s="1243"/>
      <c r="L327" s="1300"/>
      <c r="M327" s="690"/>
      <c r="N327" s="690"/>
      <c r="O327" s="690"/>
    </row>
    <row r="328" spans="4:15" s="48" customFormat="1" x14ac:dyDescent="0.25">
      <c r="D328" s="1243"/>
      <c r="E328" s="673"/>
      <c r="F328" s="1379"/>
      <c r="G328" s="1197"/>
      <c r="H328" s="1230"/>
      <c r="I328" s="1230"/>
      <c r="J328" s="1300"/>
      <c r="K328" s="1243"/>
      <c r="L328" s="1300"/>
      <c r="M328" s="690"/>
      <c r="N328" s="690"/>
      <c r="O328" s="690"/>
    </row>
    <row r="329" spans="4:15" s="48" customFormat="1" x14ac:dyDescent="0.25">
      <c r="D329" s="1243"/>
      <c r="E329" s="673"/>
      <c r="F329" s="1379"/>
      <c r="G329" s="1197"/>
      <c r="H329" s="1230"/>
      <c r="I329" s="1230"/>
      <c r="J329" s="1300"/>
      <c r="K329" s="1243"/>
      <c r="L329" s="1300"/>
      <c r="M329" s="690"/>
      <c r="N329" s="690"/>
      <c r="O329" s="690"/>
    </row>
    <row r="330" spans="4:15" s="48" customFormat="1" x14ac:dyDescent="0.25">
      <c r="D330" s="1243"/>
      <c r="E330" s="673"/>
      <c r="F330" s="1379"/>
      <c r="G330" s="1197"/>
      <c r="H330" s="1230"/>
      <c r="I330" s="1230"/>
      <c r="J330" s="1300"/>
      <c r="K330" s="1243"/>
      <c r="L330" s="1300"/>
      <c r="M330" s="690"/>
      <c r="N330" s="690"/>
      <c r="O330" s="690"/>
    </row>
    <row r="331" spans="4:15" s="48" customFormat="1" x14ac:dyDescent="0.25">
      <c r="D331" s="1243"/>
      <c r="E331" s="673"/>
      <c r="F331" s="1379"/>
      <c r="G331" s="1197"/>
      <c r="H331" s="1230"/>
      <c r="I331" s="1230"/>
      <c r="J331" s="1300"/>
      <c r="K331" s="1243"/>
      <c r="L331" s="1300"/>
      <c r="M331" s="690"/>
      <c r="N331" s="690"/>
      <c r="O331" s="690"/>
    </row>
    <row r="332" spans="4:15" s="48" customFormat="1" x14ac:dyDescent="0.25">
      <c r="D332" s="1243"/>
      <c r="E332" s="673"/>
      <c r="F332" s="1379"/>
      <c r="G332" s="1197"/>
      <c r="H332" s="1230"/>
      <c r="I332" s="1230"/>
      <c r="J332" s="1300"/>
      <c r="K332" s="1243"/>
      <c r="L332" s="1300"/>
      <c r="M332" s="690"/>
      <c r="N332" s="690"/>
      <c r="O332" s="690"/>
    </row>
    <row r="333" spans="4:15" s="48" customFormat="1" x14ac:dyDescent="0.25">
      <c r="D333" s="1243"/>
      <c r="E333" s="673"/>
      <c r="F333" s="1379"/>
      <c r="G333" s="1197"/>
      <c r="H333" s="1230"/>
      <c r="I333" s="1230"/>
      <c r="J333" s="1300"/>
      <c r="K333" s="1243"/>
      <c r="L333" s="1300"/>
      <c r="M333" s="690"/>
      <c r="N333" s="690"/>
      <c r="O333" s="690"/>
    </row>
    <row r="334" spans="4:15" s="48" customFormat="1" x14ac:dyDescent="0.25">
      <c r="D334" s="1243"/>
      <c r="E334" s="673"/>
      <c r="F334" s="1379"/>
      <c r="G334" s="1197"/>
      <c r="H334" s="1230"/>
      <c r="I334" s="1230"/>
      <c r="J334" s="1300"/>
      <c r="K334" s="1243"/>
      <c r="L334" s="1300"/>
      <c r="M334" s="690"/>
      <c r="N334" s="690"/>
      <c r="O334" s="690"/>
    </row>
    <row r="335" spans="4:15" s="48" customFormat="1" x14ac:dyDescent="0.25">
      <c r="D335" s="1243"/>
      <c r="E335" s="673"/>
      <c r="F335" s="1379"/>
      <c r="G335" s="1197"/>
      <c r="H335" s="1230"/>
      <c r="I335" s="1230"/>
      <c r="J335" s="1300"/>
      <c r="K335" s="1243"/>
      <c r="L335" s="1300"/>
      <c r="M335" s="690"/>
      <c r="N335" s="690"/>
      <c r="O335" s="690"/>
    </row>
    <row r="336" spans="4:15" s="48" customFormat="1" x14ac:dyDescent="0.25">
      <c r="D336" s="1243"/>
      <c r="E336" s="673"/>
      <c r="F336" s="1379"/>
      <c r="G336" s="1197"/>
      <c r="H336" s="1230"/>
      <c r="I336" s="1230"/>
      <c r="J336" s="1300"/>
      <c r="K336" s="1243"/>
      <c r="L336" s="1300"/>
      <c r="M336" s="690"/>
      <c r="N336" s="690"/>
      <c r="O336" s="690"/>
    </row>
    <row r="337" spans="4:15" s="48" customFormat="1" x14ac:dyDescent="0.25">
      <c r="D337" s="1243"/>
      <c r="E337" s="673"/>
      <c r="F337" s="1379"/>
      <c r="G337" s="1197"/>
      <c r="H337" s="1230"/>
      <c r="I337" s="1230"/>
      <c r="J337" s="1300"/>
      <c r="K337" s="1243"/>
      <c r="L337" s="1300"/>
      <c r="M337" s="690"/>
      <c r="N337" s="690"/>
      <c r="O337" s="690"/>
    </row>
    <row r="338" spans="4:15" s="48" customFormat="1" x14ac:dyDescent="0.25">
      <c r="D338" s="1243"/>
      <c r="E338" s="673"/>
      <c r="F338" s="1379"/>
      <c r="G338" s="1197"/>
      <c r="H338" s="1230"/>
      <c r="I338" s="1230"/>
      <c r="J338" s="1300"/>
      <c r="K338" s="1243"/>
      <c r="L338" s="1300"/>
      <c r="M338" s="690"/>
      <c r="N338" s="690"/>
      <c r="O338" s="690"/>
    </row>
    <row r="339" spans="4:15" s="48" customFormat="1" x14ac:dyDescent="0.25">
      <c r="D339" s="1243"/>
      <c r="E339" s="673"/>
      <c r="F339" s="1379"/>
      <c r="G339" s="1197"/>
      <c r="H339" s="1230"/>
      <c r="I339" s="1230"/>
      <c r="J339" s="1300"/>
      <c r="K339" s="1243"/>
      <c r="L339" s="1300"/>
      <c r="M339" s="690"/>
      <c r="N339" s="690"/>
      <c r="O339" s="690"/>
    </row>
    <row r="340" spans="4:15" s="48" customFormat="1" x14ac:dyDescent="0.25">
      <c r="D340" s="1243"/>
      <c r="E340" s="673"/>
      <c r="F340" s="1379"/>
      <c r="G340" s="1197"/>
      <c r="H340" s="1230"/>
      <c r="I340" s="1230"/>
      <c r="J340" s="1300"/>
      <c r="K340" s="1243"/>
      <c r="L340" s="1300"/>
      <c r="M340" s="690"/>
      <c r="N340" s="690"/>
      <c r="O340" s="690"/>
    </row>
    <row r="341" spans="4:15" s="48" customFormat="1" x14ac:dyDescent="0.25">
      <c r="D341" s="1243"/>
      <c r="E341" s="673"/>
      <c r="F341" s="1379"/>
      <c r="G341" s="1197"/>
      <c r="H341" s="1230"/>
      <c r="I341" s="1230"/>
      <c r="J341" s="1300"/>
      <c r="K341" s="1243"/>
      <c r="L341" s="1300"/>
      <c r="M341" s="690"/>
      <c r="N341" s="690"/>
      <c r="O341" s="690"/>
    </row>
    <row r="342" spans="4:15" s="48" customFormat="1" x14ac:dyDescent="0.25">
      <c r="D342" s="1243"/>
      <c r="E342" s="673"/>
      <c r="F342" s="1379"/>
      <c r="G342" s="1197"/>
      <c r="H342" s="1230"/>
      <c r="I342" s="1230"/>
      <c r="J342" s="1300"/>
      <c r="K342" s="1243"/>
      <c r="L342" s="1300"/>
      <c r="M342" s="690"/>
      <c r="N342" s="690"/>
      <c r="O342" s="690"/>
    </row>
    <row r="343" spans="4:15" s="48" customFormat="1" x14ac:dyDescent="0.25">
      <c r="D343" s="1243"/>
      <c r="E343" s="673"/>
      <c r="F343" s="1379"/>
      <c r="G343" s="1197"/>
      <c r="H343" s="1230"/>
      <c r="I343" s="1230"/>
      <c r="J343" s="1300"/>
      <c r="K343" s="1243"/>
      <c r="L343" s="1300"/>
      <c r="M343" s="690"/>
      <c r="N343" s="690"/>
      <c r="O343" s="690"/>
    </row>
    <row r="344" spans="4:15" s="48" customFormat="1" x14ac:dyDescent="0.25">
      <c r="D344" s="1243"/>
      <c r="E344" s="673"/>
      <c r="F344" s="1379"/>
      <c r="G344" s="1197"/>
      <c r="H344" s="1230"/>
      <c r="I344" s="1230"/>
      <c r="J344" s="1300"/>
      <c r="K344" s="1243"/>
      <c r="L344" s="1300"/>
      <c r="M344" s="690"/>
      <c r="N344" s="690"/>
      <c r="O344" s="690"/>
    </row>
    <row r="345" spans="4:15" s="48" customFormat="1" x14ac:dyDescent="0.25">
      <c r="D345" s="1243"/>
      <c r="E345" s="673"/>
      <c r="F345" s="1379"/>
      <c r="G345" s="1197"/>
      <c r="H345" s="1230"/>
      <c r="I345" s="1230"/>
      <c r="J345" s="1300"/>
      <c r="K345" s="1243"/>
      <c r="L345" s="1300"/>
      <c r="M345" s="690"/>
      <c r="N345" s="690"/>
      <c r="O345" s="690"/>
    </row>
    <row r="346" spans="4:15" s="48" customFormat="1" x14ac:dyDescent="0.25">
      <c r="D346" s="1243"/>
      <c r="E346" s="673"/>
      <c r="F346" s="1379"/>
      <c r="G346" s="1197"/>
      <c r="H346" s="1230"/>
      <c r="I346" s="1230"/>
      <c r="J346" s="1300"/>
      <c r="K346" s="1243"/>
      <c r="L346" s="1300"/>
      <c r="M346" s="690"/>
      <c r="N346" s="690"/>
      <c r="O346" s="690"/>
    </row>
    <row r="347" spans="4:15" s="48" customFormat="1" x14ac:dyDescent="0.25">
      <c r="D347" s="1243"/>
      <c r="E347" s="673"/>
      <c r="F347" s="1379"/>
      <c r="G347" s="1197"/>
      <c r="H347" s="1230"/>
      <c r="I347" s="1230"/>
      <c r="J347" s="1300"/>
      <c r="K347" s="1243"/>
      <c r="L347" s="1300"/>
      <c r="M347" s="690"/>
      <c r="N347" s="690"/>
      <c r="O347" s="690"/>
    </row>
    <row r="348" spans="4:15" s="48" customFormat="1" x14ac:dyDescent="0.25">
      <c r="D348" s="1243"/>
      <c r="E348" s="673"/>
      <c r="F348" s="1379"/>
      <c r="G348" s="1197"/>
      <c r="H348" s="1230"/>
      <c r="I348" s="1230"/>
      <c r="J348" s="1300"/>
      <c r="K348" s="1243"/>
      <c r="L348" s="1300"/>
      <c r="M348" s="690"/>
      <c r="N348" s="690"/>
      <c r="O348" s="690"/>
    </row>
    <row r="349" spans="4:15" s="48" customFormat="1" x14ac:dyDescent="0.25">
      <c r="D349" s="1243"/>
      <c r="E349" s="673"/>
      <c r="F349" s="1379"/>
      <c r="G349" s="1197"/>
      <c r="H349" s="1230"/>
      <c r="I349" s="1230"/>
      <c r="J349" s="1300"/>
      <c r="K349" s="1243"/>
      <c r="L349" s="1300"/>
      <c r="M349" s="690"/>
      <c r="N349" s="690"/>
      <c r="O349" s="690"/>
    </row>
    <row r="350" spans="4:15" s="48" customFormat="1" x14ac:dyDescent="0.25">
      <c r="D350" s="1243"/>
      <c r="E350" s="673"/>
      <c r="F350" s="1379"/>
      <c r="G350" s="1197"/>
      <c r="H350" s="1230"/>
      <c r="I350" s="1230"/>
      <c r="J350" s="1300"/>
      <c r="K350" s="1243"/>
      <c r="L350" s="1300"/>
      <c r="M350" s="690"/>
      <c r="N350" s="690"/>
      <c r="O350" s="690"/>
    </row>
    <row r="351" spans="4:15" s="48" customFormat="1" x14ac:dyDescent="0.25">
      <c r="D351" s="1243"/>
      <c r="E351" s="673"/>
      <c r="F351" s="1379"/>
      <c r="G351" s="1197"/>
      <c r="H351" s="1230"/>
      <c r="I351" s="1230"/>
      <c r="J351" s="1300"/>
      <c r="K351" s="1243"/>
      <c r="L351" s="1300"/>
      <c r="M351" s="690"/>
      <c r="N351" s="690"/>
      <c r="O351" s="690"/>
    </row>
    <row r="352" spans="4:15" s="48" customFormat="1" x14ac:dyDescent="0.25">
      <c r="D352" s="1243"/>
      <c r="E352" s="673"/>
      <c r="F352" s="1379"/>
      <c r="G352" s="1197"/>
      <c r="H352" s="1230"/>
      <c r="I352" s="1230"/>
      <c r="J352" s="1300"/>
      <c r="K352" s="1243"/>
      <c r="L352" s="1300"/>
      <c r="M352" s="690"/>
      <c r="N352" s="690"/>
      <c r="O352" s="690"/>
    </row>
    <row r="353" spans="4:15" s="48" customFormat="1" x14ac:dyDescent="0.25">
      <c r="D353" s="1243"/>
      <c r="E353" s="673"/>
      <c r="F353" s="1379"/>
      <c r="G353" s="1197"/>
      <c r="H353" s="1230"/>
      <c r="I353" s="1230"/>
      <c r="J353" s="1300"/>
      <c r="K353" s="1243"/>
      <c r="L353" s="1300"/>
      <c r="M353" s="690"/>
      <c r="N353" s="690"/>
      <c r="O353" s="690"/>
    </row>
    <row r="354" spans="4:15" s="48" customFormat="1" x14ac:dyDescent="0.25">
      <c r="D354" s="1243"/>
      <c r="E354" s="673"/>
      <c r="F354" s="1379"/>
      <c r="G354" s="1197"/>
      <c r="H354" s="1230"/>
      <c r="I354" s="1230"/>
      <c r="J354" s="1300"/>
      <c r="K354" s="1243"/>
      <c r="L354" s="1300"/>
      <c r="M354" s="690"/>
      <c r="N354" s="690"/>
      <c r="O354" s="690"/>
    </row>
    <row r="355" spans="4:15" s="48" customFormat="1" x14ac:dyDescent="0.25">
      <c r="D355" s="1243"/>
      <c r="E355" s="673"/>
      <c r="F355" s="1379"/>
      <c r="G355" s="1197"/>
      <c r="H355" s="1230"/>
      <c r="I355" s="1230"/>
      <c r="J355" s="1300"/>
      <c r="K355" s="1243"/>
      <c r="L355" s="1300"/>
      <c r="M355" s="690"/>
      <c r="N355" s="690"/>
      <c r="O355" s="690"/>
    </row>
    <row r="356" spans="4:15" s="48" customFormat="1" x14ac:dyDescent="0.25">
      <c r="D356" s="1243"/>
      <c r="E356" s="673"/>
      <c r="F356" s="1379"/>
      <c r="G356" s="1197"/>
      <c r="H356" s="1230"/>
      <c r="I356" s="1230"/>
      <c r="J356" s="1300"/>
      <c r="K356" s="1243"/>
      <c r="L356" s="1300"/>
      <c r="M356" s="690"/>
      <c r="N356" s="690"/>
      <c r="O356" s="690"/>
    </row>
    <row r="357" spans="4:15" s="48" customFormat="1" x14ac:dyDescent="0.25">
      <c r="D357" s="1243"/>
      <c r="E357" s="673"/>
      <c r="F357" s="1379"/>
      <c r="G357" s="1197"/>
      <c r="H357" s="1230"/>
      <c r="I357" s="1230"/>
      <c r="J357" s="1300"/>
      <c r="K357" s="1243"/>
      <c r="L357" s="1300"/>
      <c r="M357" s="690"/>
      <c r="N357" s="690"/>
      <c r="O357" s="690"/>
    </row>
    <row r="358" spans="4:15" s="48" customFormat="1" x14ac:dyDescent="0.25">
      <c r="D358" s="1243"/>
      <c r="E358" s="673"/>
      <c r="F358" s="1379"/>
      <c r="G358" s="1197"/>
      <c r="H358" s="1230"/>
      <c r="I358" s="1230"/>
      <c r="J358" s="1300"/>
      <c r="K358" s="1243"/>
      <c r="L358" s="1300"/>
      <c r="M358" s="690"/>
      <c r="N358" s="690"/>
      <c r="O358" s="690"/>
    </row>
    <row r="359" spans="4:15" s="48" customFormat="1" x14ac:dyDescent="0.25">
      <c r="D359" s="1243"/>
      <c r="E359" s="673"/>
      <c r="F359" s="1379"/>
      <c r="G359" s="1197"/>
      <c r="H359" s="1230"/>
      <c r="I359" s="1230"/>
      <c r="J359" s="1300"/>
      <c r="K359" s="1243"/>
      <c r="L359" s="1300"/>
      <c r="M359" s="690"/>
      <c r="N359" s="690"/>
      <c r="O359" s="690"/>
    </row>
    <row r="360" spans="4:15" s="48" customFormat="1" x14ac:dyDescent="0.25">
      <c r="D360" s="1243"/>
      <c r="E360" s="673"/>
      <c r="F360" s="1379"/>
      <c r="G360" s="1197"/>
      <c r="H360" s="1230"/>
      <c r="I360" s="1230"/>
      <c r="J360" s="1300"/>
      <c r="K360" s="1243"/>
      <c r="L360" s="1300"/>
      <c r="M360" s="690"/>
      <c r="N360" s="690"/>
      <c r="O360" s="690"/>
    </row>
    <row r="361" spans="4:15" s="48" customFormat="1" x14ac:dyDescent="0.25">
      <c r="D361" s="1243"/>
      <c r="E361" s="673"/>
      <c r="F361" s="1379"/>
      <c r="G361" s="1197"/>
      <c r="H361" s="1230"/>
      <c r="I361" s="1230"/>
      <c r="J361" s="1300"/>
      <c r="K361" s="1243"/>
      <c r="L361" s="1300"/>
      <c r="M361" s="690"/>
      <c r="N361" s="690"/>
      <c r="O361" s="690"/>
    </row>
    <row r="362" spans="4:15" s="48" customFormat="1" x14ac:dyDescent="0.25">
      <c r="D362" s="1243"/>
      <c r="E362" s="673"/>
      <c r="F362" s="1379"/>
      <c r="G362" s="1197"/>
      <c r="H362" s="1230"/>
      <c r="I362" s="1230"/>
      <c r="J362" s="1300"/>
      <c r="K362" s="1243"/>
      <c r="L362" s="1300"/>
      <c r="M362" s="690"/>
      <c r="N362" s="690"/>
      <c r="O362" s="690"/>
    </row>
    <row r="363" spans="4:15" s="48" customFormat="1" x14ac:dyDescent="0.25">
      <c r="D363" s="1243"/>
      <c r="E363" s="673"/>
      <c r="F363" s="1379"/>
      <c r="G363" s="1197"/>
      <c r="H363" s="1230"/>
      <c r="I363" s="1230"/>
      <c r="J363" s="1300"/>
      <c r="K363" s="1243"/>
      <c r="L363" s="1300"/>
      <c r="M363" s="690"/>
      <c r="N363" s="690"/>
      <c r="O363" s="690"/>
    </row>
    <row r="364" spans="4:15" s="48" customFormat="1" x14ac:dyDescent="0.25">
      <c r="D364" s="1243"/>
      <c r="E364" s="673"/>
      <c r="F364" s="1379"/>
      <c r="G364" s="1197"/>
      <c r="H364" s="1230"/>
      <c r="I364" s="1230"/>
      <c r="J364" s="1300"/>
      <c r="K364" s="1243"/>
      <c r="L364" s="1300"/>
      <c r="M364" s="690"/>
      <c r="N364" s="690"/>
      <c r="O364" s="690"/>
    </row>
    <row r="365" spans="4:15" s="48" customFormat="1" x14ac:dyDescent="0.25">
      <c r="D365" s="1243"/>
      <c r="E365" s="673"/>
      <c r="F365" s="1379"/>
      <c r="G365" s="1197"/>
      <c r="H365" s="1230"/>
      <c r="I365" s="1230"/>
      <c r="J365" s="1300"/>
      <c r="K365" s="1243"/>
      <c r="L365" s="1300"/>
      <c r="M365" s="690"/>
      <c r="N365" s="690"/>
      <c r="O365" s="690"/>
    </row>
    <row r="366" spans="4:15" s="48" customFormat="1" x14ac:dyDescent="0.25">
      <c r="D366" s="1243"/>
      <c r="E366" s="673"/>
      <c r="F366" s="1379"/>
      <c r="G366" s="1197"/>
      <c r="H366" s="1230"/>
      <c r="I366" s="1230"/>
      <c r="J366" s="1300"/>
      <c r="K366" s="1243"/>
      <c r="L366" s="1300"/>
      <c r="M366" s="690"/>
      <c r="N366" s="690"/>
      <c r="O366" s="690"/>
    </row>
    <row r="367" spans="4:15" s="48" customFormat="1" x14ac:dyDescent="0.25">
      <c r="D367" s="1243"/>
      <c r="E367" s="673"/>
      <c r="F367" s="1379"/>
      <c r="G367" s="1197"/>
      <c r="H367" s="1230"/>
      <c r="I367" s="1230"/>
      <c r="J367" s="1300"/>
      <c r="K367" s="1243"/>
      <c r="L367" s="1300"/>
      <c r="M367" s="690"/>
      <c r="N367" s="690"/>
      <c r="O367" s="690"/>
    </row>
    <row r="368" spans="4:15" s="48" customFormat="1" x14ac:dyDescent="0.25">
      <c r="D368" s="1243"/>
      <c r="E368" s="673"/>
      <c r="F368" s="1379"/>
      <c r="G368" s="1197"/>
      <c r="H368" s="1230"/>
      <c r="I368" s="1230"/>
      <c r="J368" s="1300"/>
      <c r="K368" s="1243"/>
      <c r="L368" s="1300"/>
      <c r="M368" s="690"/>
      <c r="N368" s="690"/>
      <c r="O368" s="690"/>
    </row>
    <row r="369" spans="4:15" s="48" customFormat="1" x14ac:dyDescent="0.25">
      <c r="D369" s="1243"/>
      <c r="E369" s="673"/>
      <c r="F369" s="1379"/>
      <c r="G369" s="1197"/>
      <c r="H369" s="1230"/>
      <c r="I369" s="1230"/>
      <c r="J369" s="1300"/>
      <c r="K369" s="1243"/>
      <c r="L369" s="1300"/>
      <c r="M369" s="690"/>
      <c r="N369" s="690"/>
      <c r="O369" s="690"/>
    </row>
    <row r="370" spans="4:15" s="48" customFormat="1" x14ac:dyDescent="0.25">
      <c r="D370" s="1243"/>
      <c r="E370" s="673"/>
      <c r="F370" s="1379"/>
      <c r="G370" s="1197"/>
      <c r="H370" s="1230"/>
      <c r="I370" s="1230"/>
      <c r="J370" s="1300"/>
      <c r="K370" s="1243"/>
      <c r="L370" s="1300"/>
      <c r="M370" s="690"/>
      <c r="N370" s="690"/>
      <c r="O370" s="690"/>
    </row>
    <row r="371" spans="4:15" s="48" customFormat="1" x14ac:dyDescent="0.25">
      <c r="D371" s="1243"/>
      <c r="E371" s="673"/>
      <c r="F371" s="1379"/>
      <c r="G371" s="1197"/>
      <c r="H371" s="1230"/>
      <c r="I371" s="1230"/>
      <c r="J371" s="1300"/>
      <c r="K371" s="1243"/>
      <c r="L371" s="1300"/>
      <c r="M371" s="690"/>
      <c r="N371" s="690"/>
      <c r="O371" s="690"/>
    </row>
    <row r="372" spans="4:15" s="48" customFormat="1" x14ac:dyDescent="0.25">
      <c r="D372" s="1243"/>
      <c r="E372" s="673"/>
      <c r="F372" s="1379"/>
      <c r="G372" s="1197"/>
      <c r="H372" s="1230"/>
      <c r="I372" s="1230"/>
      <c r="J372" s="1300"/>
      <c r="K372" s="1243"/>
      <c r="L372" s="1300"/>
      <c r="M372" s="690"/>
      <c r="N372" s="690"/>
      <c r="O372" s="690"/>
    </row>
    <row r="373" spans="4:15" s="48" customFormat="1" x14ac:dyDescent="0.25">
      <c r="D373" s="1243"/>
      <c r="E373" s="673"/>
      <c r="F373" s="1379"/>
      <c r="G373" s="1197"/>
      <c r="H373" s="1230"/>
      <c r="I373" s="1230"/>
      <c r="J373" s="1300"/>
      <c r="K373" s="1243"/>
      <c r="L373" s="1300"/>
      <c r="M373" s="690"/>
      <c r="N373" s="690"/>
      <c r="O373" s="690"/>
    </row>
    <row r="374" spans="4:15" s="48" customFormat="1" x14ac:dyDescent="0.25">
      <c r="D374" s="1243"/>
      <c r="E374" s="673"/>
      <c r="F374" s="1379"/>
      <c r="G374" s="1197"/>
      <c r="H374" s="1230"/>
      <c r="I374" s="1230"/>
      <c r="J374" s="1300"/>
      <c r="K374" s="1243"/>
      <c r="L374" s="1300"/>
      <c r="M374" s="690"/>
      <c r="N374" s="690"/>
      <c r="O374" s="690"/>
    </row>
    <row r="375" spans="4:15" s="48" customFormat="1" x14ac:dyDescent="0.25">
      <c r="D375" s="1243"/>
      <c r="E375" s="673"/>
      <c r="F375" s="1379"/>
      <c r="G375" s="1197"/>
      <c r="H375" s="1230"/>
      <c r="I375" s="1230"/>
      <c r="J375" s="1300"/>
      <c r="K375" s="1243"/>
      <c r="L375" s="1300"/>
      <c r="M375" s="690"/>
      <c r="N375" s="690"/>
      <c r="O375" s="690"/>
    </row>
    <row r="376" spans="4:15" s="48" customFormat="1" x14ac:dyDescent="0.25">
      <c r="D376" s="1243"/>
      <c r="E376" s="673"/>
      <c r="F376" s="1379"/>
      <c r="G376" s="1197"/>
      <c r="H376" s="1230"/>
      <c r="I376" s="1230"/>
      <c r="J376" s="1300"/>
      <c r="K376" s="1243"/>
      <c r="L376" s="1300"/>
      <c r="M376" s="690"/>
      <c r="N376" s="690"/>
      <c r="O376" s="690"/>
    </row>
    <row r="377" spans="4:15" s="48" customFormat="1" x14ac:dyDescent="0.25">
      <c r="D377" s="1243"/>
      <c r="E377" s="673"/>
      <c r="F377" s="1379"/>
      <c r="G377" s="1197"/>
      <c r="H377" s="1230"/>
      <c r="I377" s="1230"/>
      <c r="J377" s="1300"/>
      <c r="K377" s="1243"/>
      <c r="L377" s="1300"/>
      <c r="M377" s="690"/>
      <c r="N377" s="690"/>
      <c r="O377" s="690"/>
    </row>
    <row r="378" spans="4:15" s="48" customFormat="1" x14ac:dyDescent="0.25">
      <c r="D378" s="1243"/>
      <c r="E378" s="673"/>
      <c r="F378" s="1379"/>
      <c r="G378" s="1197"/>
      <c r="H378" s="1230"/>
      <c r="I378" s="1230"/>
      <c r="J378" s="1300"/>
      <c r="K378" s="1243"/>
      <c r="L378" s="1300"/>
      <c r="M378" s="690"/>
      <c r="N378" s="690"/>
      <c r="O378" s="690"/>
    </row>
    <row r="379" spans="4:15" s="48" customFormat="1" x14ac:dyDescent="0.25">
      <c r="D379" s="1243"/>
      <c r="E379" s="673"/>
      <c r="F379" s="1379"/>
      <c r="G379" s="1197"/>
      <c r="H379" s="1230"/>
      <c r="I379" s="1230"/>
      <c r="J379" s="1300"/>
      <c r="K379" s="1243"/>
      <c r="L379" s="1300"/>
      <c r="M379" s="690"/>
      <c r="N379" s="690"/>
      <c r="O379" s="690"/>
    </row>
    <row r="380" spans="4:15" s="48" customFormat="1" x14ac:dyDescent="0.25">
      <c r="D380" s="1243"/>
      <c r="E380" s="673"/>
      <c r="F380" s="1379"/>
      <c r="G380" s="1197"/>
      <c r="H380" s="1230"/>
      <c r="I380" s="1230"/>
      <c r="J380" s="1300"/>
      <c r="K380" s="1243"/>
      <c r="L380" s="1300"/>
      <c r="M380" s="690"/>
      <c r="N380" s="690"/>
      <c r="O380" s="690"/>
    </row>
    <row r="381" spans="4:15" s="48" customFormat="1" x14ac:dyDescent="0.25">
      <c r="D381" s="1243"/>
      <c r="E381" s="673"/>
      <c r="F381" s="1379"/>
      <c r="G381" s="1197"/>
      <c r="H381" s="1230"/>
      <c r="I381" s="1230"/>
      <c r="J381" s="1300"/>
      <c r="K381" s="1243"/>
      <c r="L381" s="1300"/>
      <c r="M381" s="690"/>
      <c r="N381" s="690"/>
      <c r="O381" s="690"/>
    </row>
    <row r="382" spans="4:15" s="48" customFormat="1" x14ac:dyDescent="0.25">
      <c r="D382" s="1243"/>
      <c r="E382" s="673"/>
      <c r="F382" s="1379"/>
      <c r="G382" s="1197"/>
      <c r="H382" s="1230"/>
      <c r="I382" s="1230"/>
      <c r="J382" s="1300"/>
      <c r="K382" s="1243"/>
      <c r="L382" s="1300"/>
      <c r="M382" s="690"/>
      <c r="N382" s="690"/>
      <c r="O382" s="690"/>
    </row>
    <row r="383" spans="4:15" s="48" customFormat="1" x14ac:dyDescent="0.25">
      <c r="D383" s="1243"/>
      <c r="E383" s="673"/>
      <c r="F383" s="1379"/>
      <c r="G383" s="1197"/>
      <c r="H383" s="1230"/>
      <c r="I383" s="1230"/>
      <c r="J383" s="1300"/>
      <c r="K383" s="1243"/>
      <c r="L383" s="1300"/>
      <c r="M383" s="690"/>
      <c r="N383" s="690"/>
      <c r="O383" s="690"/>
    </row>
    <row r="384" spans="4:15" s="48" customFormat="1" x14ac:dyDescent="0.25">
      <c r="D384" s="1243"/>
      <c r="E384" s="673"/>
      <c r="F384" s="1379"/>
      <c r="G384" s="1197"/>
      <c r="H384" s="1230"/>
      <c r="I384" s="1230"/>
      <c r="J384" s="1300"/>
      <c r="K384" s="1243"/>
      <c r="L384" s="1300"/>
      <c r="M384" s="690"/>
      <c r="N384" s="690"/>
      <c r="O384" s="690"/>
    </row>
    <row r="385" spans="4:15" s="48" customFormat="1" x14ac:dyDescent="0.25">
      <c r="D385" s="1243"/>
      <c r="E385" s="673"/>
      <c r="F385" s="1379"/>
      <c r="G385" s="1197"/>
      <c r="H385" s="1230"/>
      <c r="I385" s="1230"/>
      <c r="J385" s="1300"/>
      <c r="K385" s="1243"/>
      <c r="L385" s="1300"/>
      <c r="M385" s="690"/>
      <c r="N385" s="690"/>
      <c r="O385" s="690"/>
    </row>
    <row r="386" spans="4:15" s="48" customFormat="1" x14ac:dyDescent="0.25">
      <c r="D386" s="1243"/>
      <c r="E386" s="673"/>
      <c r="F386" s="1379"/>
      <c r="G386" s="1197"/>
      <c r="H386" s="1230"/>
      <c r="I386" s="1230"/>
      <c r="J386" s="1300"/>
      <c r="K386" s="1243"/>
      <c r="L386" s="1300"/>
      <c r="M386" s="690"/>
      <c r="N386" s="690"/>
      <c r="O386" s="690"/>
    </row>
    <row r="387" spans="4:15" s="48" customFormat="1" x14ac:dyDescent="0.25">
      <c r="D387" s="1243"/>
      <c r="E387" s="673"/>
      <c r="F387" s="1379"/>
      <c r="G387" s="1197"/>
      <c r="H387" s="1230"/>
      <c r="I387" s="1230"/>
      <c r="J387" s="1300"/>
      <c r="K387" s="1243"/>
      <c r="L387" s="1300"/>
      <c r="M387" s="690"/>
      <c r="N387" s="690"/>
      <c r="O387" s="690"/>
    </row>
    <row r="388" spans="4:15" s="48" customFormat="1" x14ac:dyDescent="0.25">
      <c r="D388" s="1243"/>
      <c r="E388" s="673"/>
      <c r="F388" s="1379"/>
      <c r="G388" s="1197"/>
      <c r="H388" s="1230"/>
      <c r="I388" s="1230"/>
      <c r="J388" s="1300"/>
      <c r="K388" s="1243"/>
      <c r="L388" s="1300"/>
      <c r="M388" s="690"/>
      <c r="N388" s="690"/>
      <c r="O388" s="690"/>
    </row>
    <row r="389" spans="4:15" s="48" customFormat="1" x14ac:dyDescent="0.25">
      <c r="D389" s="1243"/>
      <c r="E389" s="673"/>
      <c r="F389" s="1379"/>
      <c r="G389" s="1197"/>
      <c r="H389" s="1230"/>
      <c r="I389" s="1230"/>
      <c r="J389" s="1300"/>
      <c r="K389" s="1243"/>
      <c r="L389" s="1300"/>
      <c r="M389" s="690"/>
      <c r="N389" s="690"/>
      <c r="O389" s="690"/>
    </row>
    <row r="390" spans="4:15" s="48" customFormat="1" x14ac:dyDescent="0.25">
      <c r="D390" s="1243"/>
      <c r="E390" s="673"/>
      <c r="F390" s="1379"/>
      <c r="G390" s="1197"/>
      <c r="H390" s="1230"/>
      <c r="I390" s="1230"/>
      <c r="J390" s="1300"/>
      <c r="K390" s="1243"/>
      <c r="L390" s="1300"/>
      <c r="M390" s="690"/>
      <c r="N390" s="690"/>
      <c r="O390" s="690"/>
    </row>
    <row r="391" spans="4:15" s="48" customFormat="1" x14ac:dyDescent="0.25">
      <c r="D391" s="1243"/>
      <c r="E391" s="673"/>
      <c r="F391" s="1379"/>
      <c r="G391" s="1197"/>
      <c r="H391" s="1230"/>
      <c r="I391" s="1230"/>
      <c r="J391" s="1300"/>
      <c r="K391" s="1243"/>
      <c r="L391" s="1300"/>
      <c r="M391" s="690"/>
      <c r="N391" s="690"/>
      <c r="O391" s="690"/>
    </row>
    <row r="392" spans="4:15" s="48" customFormat="1" x14ac:dyDescent="0.25">
      <c r="D392" s="1243"/>
      <c r="E392" s="673"/>
      <c r="F392" s="1379"/>
      <c r="G392" s="1197"/>
      <c r="H392" s="1230"/>
      <c r="I392" s="1230"/>
      <c r="J392" s="1300"/>
      <c r="K392" s="1243"/>
      <c r="L392" s="1300"/>
      <c r="M392" s="690"/>
      <c r="N392" s="690"/>
      <c r="O392" s="690"/>
    </row>
    <row r="393" spans="4:15" s="48" customFormat="1" x14ac:dyDescent="0.25">
      <c r="D393" s="1243"/>
      <c r="E393" s="673"/>
      <c r="F393" s="1379"/>
      <c r="G393" s="1197"/>
      <c r="H393" s="1230"/>
      <c r="I393" s="1230"/>
      <c r="J393" s="1300"/>
      <c r="K393" s="1243"/>
      <c r="L393" s="1300"/>
      <c r="M393" s="690"/>
      <c r="N393" s="690"/>
      <c r="O393" s="690"/>
    </row>
    <row r="394" spans="4:15" s="48" customFormat="1" x14ac:dyDescent="0.25">
      <c r="D394" s="1243"/>
      <c r="E394" s="673"/>
      <c r="F394" s="1379"/>
      <c r="G394" s="1197"/>
      <c r="H394" s="1230"/>
      <c r="I394" s="1230"/>
      <c r="J394" s="1300"/>
      <c r="K394" s="1243"/>
      <c r="L394" s="1300"/>
      <c r="M394" s="690"/>
      <c r="N394" s="690"/>
      <c r="O394" s="690"/>
    </row>
    <row r="395" spans="4:15" s="48" customFormat="1" x14ac:dyDescent="0.25">
      <c r="D395" s="1243"/>
      <c r="E395" s="673"/>
      <c r="F395" s="1379"/>
      <c r="G395" s="1197"/>
      <c r="H395" s="1230"/>
      <c r="I395" s="1230"/>
      <c r="J395" s="1300"/>
      <c r="K395" s="1243"/>
      <c r="L395" s="1300"/>
      <c r="M395" s="690"/>
      <c r="N395" s="690"/>
      <c r="O395" s="690"/>
    </row>
    <row r="396" spans="4:15" s="48" customFormat="1" x14ac:dyDescent="0.25">
      <c r="D396" s="1243"/>
      <c r="E396" s="673"/>
      <c r="F396" s="1379"/>
      <c r="G396" s="1197"/>
      <c r="H396" s="1230"/>
      <c r="I396" s="1230"/>
      <c r="J396" s="1300"/>
      <c r="K396" s="1243"/>
      <c r="L396" s="1300"/>
      <c r="M396" s="690"/>
      <c r="N396" s="690"/>
      <c r="O396" s="690"/>
    </row>
    <row r="397" spans="4:15" s="48" customFormat="1" x14ac:dyDescent="0.25">
      <c r="D397" s="1243"/>
      <c r="E397" s="673"/>
      <c r="F397" s="1379"/>
      <c r="G397" s="1197"/>
      <c r="H397" s="1230"/>
      <c r="I397" s="1230"/>
      <c r="J397" s="1300"/>
      <c r="K397" s="1243"/>
      <c r="L397" s="1300"/>
      <c r="M397" s="690"/>
      <c r="N397" s="690"/>
      <c r="O397" s="690"/>
    </row>
    <row r="398" spans="4:15" s="48" customFormat="1" x14ac:dyDescent="0.25">
      <c r="D398" s="1243"/>
      <c r="E398" s="673"/>
      <c r="F398" s="1379"/>
      <c r="G398" s="1197"/>
      <c r="H398" s="1230"/>
      <c r="I398" s="1230"/>
      <c r="J398" s="1300"/>
      <c r="K398" s="1243"/>
      <c r="L398" s="1300"/>
      <c r="M398" s="690"/>
      <c r="N398" s="690"/>
      <c r="O398" s="690"/>
    </row>
    <row r="399" spans="4:15" s="48" customFormat="1" x14ac:dyDescent="0.25">
      <c r="D399" s="1243"/>
      <c r="E399" s="673"/>
      <c r="F399" s="1379"/>
      <c r="G399" s="1197"/>
      <c r="H399" s="1230"/>
      <c r="I399" s="1230"/>
      <c r="J399" s="1300"/>
      <c r="K399" s="1243"/>
      <c r="L399" s="1300"/>
      <c r="M399" s="690"/>
      <c r="N399" s="690"/>
      <c r="O399" s="690"/>
    </row>
    <row r="400" spans="4:15" s="48" customFormat="1" x14ac:dyDescent="0.25">
      <c r="D400" s="1243"/>
      <c r="E400" s="673"/>
      <c r="F400" s="1379"/>
      <c r="G400" s="1197"/>
      <c r="H400" s="1230"/>
      <c r="I400" s="1230"/>
      <c r="J400" s="1300"/>
      <c r="K400" s="1243"/>
      <c r="L400" s="1300"/>
      <c r="M400" s="690"/>
      <c r="N400" s="690"/>
      <c r="O400" s="690"/>
    </row>
    <row r="401" spans="4:15" s="48" customFormat="1" x14ac:dyDescent="0.25">
      <c r="D401" s="1243"/>
      <c r="E401" s="673"/>
      <c r="F401" s="1379"/>
      <c r="G401" s="1197"/>
      <c r="H401" s="1230"/>
      <c r="I401" s="1230"/>
      <c r="J401" s="1300"/>
      <c r="K401" s="1243"/>
      <c r="L401" s="1300"/>
      <c r="M401" s="690"/>
      <c r="N401" s="690"/>
      <c r="O401" s="690"/>
    </row>
    <row r="402" spans="4:15" s="48" customFormat="1" x14ac:dyDescent="0.25">
      <c r="D402" s="1243"/>
      <c r="E402" s="673"/>
      <c r="F402" s="1379"/>
      <c r="G402" s="1197"/>
      <c r="H402" s="1230"/>
      <c r="I402" s="1230"/>
      <c r="J402" s="1300"/>
      <c r="K402" s="1243"/>
      <c r="L402" s="1300"/>
      <c r="M402" s="690"/>
      <c r="N402" s="690"/>
      <c r="O402" s="690"/>
    </row>
    <row r="403" spans="4:15" s="48" customFormat="1" x14ac:dyDescent="0.25">
      <c r="D403" s="1243"/>
      <c r="E403" s="673"/>
      <c r="F403" s="1379"/>
      <c r="G403" s="1197"/>
      <c r="H403" s="1230"/>
      <c r="I403" s="1230"/>
      <c r="J403" s="1300"/>
      <c r="K403" s="1243"/>
      <c r="L403" s="1300"/>
      <c r="M403" s="690"/>
      <c r="N403" s="690"/>
      <c r="O403" s="690"/>
    </row>
    <row r="404" spans="4:15" s="48" customFormat="1" x14ac:dyDescent="0.25">
      <c r="D404" s="1243"/>
      <c r="E404" s="673"/>
      <c r="F404" s="1379"/>
      <c r="G404" s="1197"/>
      <c r="H404" s="1230"/>
      <c r="I404" s="1230"/>
      <c r="J404" s="1300"/>
      <c r="K404" s="1243"/>
      <c r="L404" s="1300"/>
      <c r="M404" s="690"/>
      <c r="N404" s="690"/>
      <c r="O404" s="690"/>
    </row>
    <row r="405" spans="4:15" s="48" customFormat="1" x14ac:dyDescent="0.25">
      <c r="D405" s="1243"/>
      <c r="E405" s="673"/>
      <c r="F405" s="1379"/>
      <c r="G405" s="1197"/>
      <c r="H405" s="1230"/>
      <c r="I405" s="1230"/>
      <c r="J405" s="1300"/>
      <c r="K405" s="1243"/>
      <c r="L405" s="1300"/>
      <c r="M405" s="690"/>
      <c r="N405" s="690"/>
      <c r="O405" s="690"/>
    </row>
    <row r="406" spans="4:15" s="48" customFormat="1" x14ac:dyDescent="0.25">
      <c r="D406" s="1243"/>
      <c r="E406" s="673"/>
      <c r="F406" s="1379"/>
      <c r="G406" s="1197"/>
      <c r="H406" s="1230"/>
      <c r="I406" s="1230"/>
      <c r="J406" s="1300"/>
      <c r="K406" s="1243"/>
      <c r="L406" s="1300"/>
      <c r="M406" s="690"/>
      <c r="N406" s="690"/>
      <c r="O406" s="690"/>
    </row>
    <row r="407" spans="4:15" s="48" customFormat="1" x14ac:dyDescent="0.25">
      <c r="D407" s="1243"/>
      <c r="E407" s="673"/>
      <c r="F407" s="1379"/>
      <c r="G407" s="1197"/>
      <c r="H407" s="1230"/>
      <c r="I407" s="1230"/>
      <c r="J407" s="1300"/>
      <c r="K407" s="1243"/>
      <c r="L407" s="1300"/>
      <c r="M407" s="690"/>
      <c r="N407" s="690"/>
      <c r="O407" s="690"/>
    </row>
    <row r="408" spans="4:15" s="48" customFormat="1" x14ac:dyDescent="0.25">
      <c r="D408" s="1243"/>
      <c r="E408" s="673"/>
      <c r="F408" s="1379"/>
      <c r="G408" s="1197"/>
      <c r="H408" s="1230"/>
      <c r="I408" s="1230"/>
      <c r="J408" s="1300"/>
      <c r="K408" s="1243"/>
      <c r="L408" s="1300"/>
      <c r="M408" s="690"/>
      <c r="N408" s="690"/>
      <c r="O408" s="690"/>
    </row>
    <row r="409" spans="4:15" s="48" customFormat="1" x14ac:dyDescent="0.25">
      <c r="D409" s="1243"/>
      <c r="E409" s="673"/>
      <c r="F409" s="1379"/>
      <c r="G409" s="1197"/>
      <c r="H409" s="1230"/>
      <c r="I409" s="1230"/>
      <c r="J409" s="1300"/>
      <c r="K409" s="1243"/>
      <c r="L409" s="1300"/>
      <c r="M409" s="690"/>
      <c r="N409" s="690"/>
      <c r="O409" s="690"/>
    </row>
    <row r="410" spans="4:15" s="48" customFormat="1" x14ac:dyDescent="0.25">
      <c r="D410" s="1243"/>
      <c r="E410" s="673"/>
      <c r="F410" s="1379"/>
      <c r="G410" s="1197"/>
      <c r="H410" s="1230"/>
      <c r="I410" s="1230"/>
      <c r="J410" s="1300"/>
      <c r="K410" s="1243"/>
      <c r="L410" s="1300"/>
      <c r="M410" s="690"/>
      <c r="N410" s="690"/>
      <c r="O410" s="690"/>
    </row>
    <row r="411" spans="4:15" s="48" customFormat="1" x14ac:dyDescent="0.25">
      <c r="D411" s="1243"/>
      <c r="E411" s="673"/>
      <c r="F411" s="1379"/>
      <c r="G411" s="1197"/>
      <c r="H411" s="1230"/>
      <c r="I411" s="1230"/>
      <c r="J411" s="1300"/>
      <c r="K411" s="1243"/>
      <c r="L411" s="1300"/>
      <c r="M411" s="690"/>
      <c r="N411" s="690"/>
      <c r="O411" s="690"/>
    </row>
    <row r="412" spans="4:15" s="48" customFormat="1" x14ac:dyDescent="0.25">
      <c r="D412" s="1243"/>
      <c r="E412" s="673"/>
      <c r="F412" s="1379"/>
      <c r="G412" s="1197"/>
      <c r="H412" s="1230"/>
      <c r="I412" s="1230"/>
      <c r="J412" s="1300"/>
      <c r="K412" s="1243"/>
      <c r="L412" s="1300"/>
      <c r="M412" s="690"/>
      <c r="N412" s="690"/>
      <c r="O412" s="690"/>
    </row>
    <row r="413" spans="4:15" s="48" customFormat="1" x14ac:dyDescent="0.25">
      <c r="D413" s="1243"/>
      <c r="E413" s="673"/>
      <c r="F413" s="1379"/>
      <c r="G413" s="1197"/>
      <c r="H413" s="1230"/>
      <c r="I413" s="1230"/>
      <c r="J413" s="1300"/>
      <c r="K413" s="1243"/>
      <c r="L413" s="1300"/>
      <c r="M413" s="690"/>
      <c r="N413" s="690"/>
      <c r="O413" s="690"/>
    </row>
    <row r="414" spans="4:15" s="48" customFormat="1" x14ac:dyDescent="0.25">
      <c r="D414" s="1243"/>
      <c r="E414" s="673"/>
      <c r="F414" s="1379"/>
      <c r="G414" s="1197"/>
      <c r="H414" s="1230"/>
      <c r="I414" s="1230"/>
      <c r="J414" s="1300"/>
      <c r="K414" s="1243"/>
      <c r="L414" s="1300"/>
      <c r="M414" s="690"/>
      <c r="N414" s="690"/>
      <c r="O414" s="690"/>
    </row>
    <row r="415" spans="4:15" s="48" customFormat="1" x14ac:dyDescent="0.25">
      <c r="D415" s="1243"/>
      <c r="E415" s="673"/>
      <c r="F415" s="1379"/>
      <c r="G415" s="1197"/>
      <c r="H415" s="1230"/>
      <c r="I415" s="1230"/>
      <c r="J415" s="1300"/>
      <c r="K415" s="1243"/>
      <c r="L415" s="1300"/>
      <c r="M415" s="690"/>
      <c r="N415" s="690"/>
      <c r="O415" s="690"/>
    </row>
    <row r="416" spans="4:15" s="48" customFormat="1" x14ac:dyDescent="0.25">
      <c r="D416" s="1243"/>
      <c r="E416" s="673"/>
      <c r="F416" s="1379"/>
      <c r="G416" s="1197"/>
      <c r="H416" s="1230"/>
      <c r="I416" s="1230"/>
      <c r="J416" s="1300"/>
      <c r="K416" s="1243"/>
      <c r="L416" s="1300"/>
      <c r="M416" s="690"/>
      <c r="N416" s="690"/>
      <c r="O416" s="690"/>
    </row>
    <row r="417" spans="4:15" s="48" customFormat="1" x14ac:dyDescent="0.25">
      <c r="D417" s="1243"/>
      <c r="E417" s="673"/>
      <c r="F417" s="1379"/>
      <c r="G417" s="1197"/>
      <c r="H417" s="1230"/>
      <c r="I417" s="1230"/>
      <c r="J417" s="1300"/>
      <c r="K417" s="1243"/>
      <c r="L417" s="1300"/>
      <c r="M417" s="690"/>
      <c r="N417" s="690"/>
      <c r="O417" s="690"/>
    </row>
    <row r="418" spans="4:15" s="48" customFormat="1" x14ac:dyDescent="0.25">
      <c r="D418" s="1243"/>
      <c r="E418" s="673"/>
      <c r="F418" s="1379"/>
      <c r="G418" s="1197"/>
      <c r="H418" s="1230"/>
      <c r="I418" s="1230"/>
      <c r="J418" s="1300"/>
      <c r="K418" s="1243"/>
      <c r="L418" s="1300"/>
      <c r="M418" s="690"/>
      <c r="N418" s="690"/>
      <c r="O418" s="690"/>
    </row>
    <row r="419" spans="4:15" s="48" customFormat="1" x14ac:dyDescent="0.25">
      <c r="D419" s="1243"/>
      <c r="E419" s="673"/>
      <c r="F419" s="1379"/>
      <c r="G419" s="1197"/>
      <c r="H419" s="1230"/>
      <c r="I419" s="1230"/>
      <c r="J419" s="1300"/>
      <c r="K419" s="1243"/>
      <c r="L419" s="1300"/>
      <c r="M419" s="690"/>
      <c r="N419" s="690"/>
      <c r="O419" s="690"/>
    </row>
    <row r="420" spans="4:15" s="48" customFormat="1" x14ac:dyDescent="0.25">
      <c r="D420" s="1243"/>
      <c r="E420" s="673"/>
      <c r="F420" s="1379"/>
      <c r="G420" s="1197"/>
      <c r="H420" s="1230"/>
      <c r="I420" s="1230"/>
      <c r="J420" s="1300"/>
      <c r="K420" s="1243"/>
      <c r="L420" s="1300"/>
      <c r="M420" s="690"/>
      <c r="N420" s="690"/>
      <c r="O420" s="690"/>
    </row>
    <row r="421" spans="4:15" s="48" customFormat="1" x14ac:dyDescent="0.25">
      <c r="D421" s="1243"/>
      <c r="E421" s="673"/>
      <c r="F421" s="1379"/>
      <c r="G421" s="1197"/>
      <c r="H421" s="1230"/>
      <c r="I421" s="1230"/>
      <c r="J421" s="1300"/>
      <c r="K421" s="1243"/>
      <c r="L421" s="1300"/>
      <c r="M421" s="690"/>
      <c r="N421" s="690"/>
      <c r="O421" s="690"/>
    </row>
    <row r="422" spans="4:15" s="48" customFormat="1" x14ac:dyDescent="0.25">
      <c r="D422" s="1243"/>
      <c r="E422" s="673"/>
      <c r="F422" s="1379"/>
      <c r="G422" s="1197"/>
      <c r="H422" s="1230"/>
      <c r="I422" s="1230"/>
      <c r="J422" s="1300"/>
      <c r="K422" s="1243"/>
      <c r="L422" s="1300"/>
      <c r="M422" s="690"/>
      <c r="N422" s="690"/>
      <c r="O422" s="690"/>
    </row>
    <row r="423" spans="4:15" s="48" customFormat="1" x14ac:dyDescent="0.25">
      <c r="D423" s="1243"/>
      <c r="E423" s="673"/>
      <c r="F423" s="1379"/>
      <c r="G423" s="1197"/>
      <c r="H423" s="1230"/>
      <c r="I423" s="1230"/>
      <c r="J423" s="1300"/>
      <c r="K423" s="1243"/>
      <c r="L423" s="1300"/>
      <c r="M423" s="690"/>
      <c r="N423" s="690"/>
      <c r="O423" s="690"/>
    </row>
    <row r="424" spans="4:15" s="48" customFormat="1" x14ac:dyDescent="0.25">
      <c r="D424" s="1243"/>
      <c r="E424" s="673"/>
      <c r="F424" s="1379"/>
      <c r="G424" s="1197"/>
      <c r="H424" s="1230"/>
      <c r="I424" s="1230"/>
      <c r="J424" s="1300"/>
      <c r="K424" s="1243"/>
      <c r="L424" s="1300"/>
      <c r="M424" s="690"/>
      <c r="N424" s="690"/>
      <c r="O424" s="690"/>
    </row>
    <row r="425" spans="4:15" s="48" customFormat="1" x14ac:dyDescent="0.25">
      <c r="D425" s="1243"/>
      <c r="E425" s="673"/>
      <c r="F425" s="1379"/>
      <c r="G425" s="1197"/>
      <c r="H425" s="1230"/>
      <c r="I425" s="1230"/>
      <c r="J425" s="1300"/>
      <c r="K425" s="1243"/>
      <c r="L425" s="1300"/>
      <c r="M425" s="690"/>
      <c r="N425" s="690"/>
      <c r="O425" s="690"/>
    </row>
    <row r="426" spans="4:15" s="48" customFormat="1" x14ac:dyDescent="0.25">
      <c r="D426" s="1243"/>
      <c r="E426" s="673"/>
      <c r="F426" s="1379"/>
      <c r="G426" s="1197"/>
      <c r="H426" s="1230"/>
      <c r="I426" s="1230"/>
      <c r="J426" s="1300"/>
      <c r="K426" s="1243"/>
      <c r="L426" s="1300"/>
      <c r="M426" s="690"/>
      <c r="N426" s="690"/>
      <c r="O426" s="690"/>
    </row>
    <row r="427" spans="4:15" s="48" customFormat="1" x14ac:dyDescent="0.25">
      <c r="D427" s="1243"/>
      <c r="E427" s="673"/>
      <c r="F427" s="1379"/>
      <c r="G427" s="1197"/>
      <c r="H427" s="1230"/>
      <c r="I427" s="1230"/>
      <c r="J427" s="1300"/>
      <c r="K427" s="1243"/>
      <c r="L427" s="1300"/>
      <c r="M427" s="690"/>
      <c r="N427" s="690"/>
      <c r="O427" s="690"/>
    </row>
    <row r="428" spans="4:15" s="48" customFormat="1" x14ac:dyDescent="0.25">
      <c r="D428" s="1243"/>
      <c r="E428" s="673"/>
      <c r="F428" s="1379"/>
      <c r="G428" s="1197"/>
      <c r="H428" s="1230"/>
      <c r="I428" s="1230"/>
      <c r="J428" s="1300"/>
      <c r="K428" s="1243"/>
      <c r="L428" s="1300"/>
      <c r="M428" s="690"/>
      <c r="N428" s="690"/>
      <c r="O428" s="690"/>
    </row>
    <row r="429" spans="4:15" s="48" customFormat="1" x14ac:dyDescent="0.25">
      <c r="D429" s="1243"/>
      <c r="E429" s="673"/>
      <c r="F429" s="1379"/>
      <c r="G429" s="1197"/>
      <c r="H429" s="1230"/>
      <c r="I429" s="1230"/>
      <c r="J429" s="1300"/>
      <c r="K429" s="1243"/>
      <c r="L429" s="1300"/>
      <c r="M429" s="690"/>
      <c r="N429" s="690"/>
      <c r="O429" s="690"/>
    </row>
    <row r="430" spans="4:15" s="48" customFormat="1" x14ac:dyDescent="0.25">
      <c r="D430" s="1243"/>
      <c r="E430" s="673"/>
      <c r="F430" s="1379"/>
      <c r="G430" s="1197"/>
      <c r="H430" s="1230"/>
      <c r="I430" s="1230"/>
      <c r="J430" s="1300"/>
      <c r="K430" s="1243"/>
      <c r="L430" s="1300"/>
      <c r="M430" s="690"/>
      <c r="N430" s="690"/>
      <c r="O430" s="690"/>
    </row>
    <row r="431" spans="4:15" s="48" customFormat="1" x14ac:dyDescent="0.25">
      <c r="D431" s="1243"/>
      <c r="E431" s="673"/>
      <c r="F431" s="1379"/>
      <c r="G431" s="1197"/>
      <c r="H431" s="1230"/>
      <c r="I431" s="1230"/>
      <c r="J431" s="1300"/>
      <c r="K431" s="1243"/>
      <c r="L431" s="1300"/>
      <c r="M431" s="690"/>
      <c r="N431" s="690"/>
      <c r="O431" s="690"/>
    </row>
    <row r="432" spans="4:15" s="48" customFormat="1" x14ac:dyDescent="0.25">
      <c r="D432" s="1243"/>
      <c r="E432" s="673"/>
      <c r="F432" s="1379"/>
      <c r="G432" s="1197"/>
      <c r="H432" s="1230"/>
      <c r="I432" s="1230"/>
      <c r="J432" s="1300"/>
      <c r="K432" s="1243"/>
      <c r="L432" s="1300"/>
      <c r="M432" s="690"/>
      <c r="N432" s="690"/>
      <c r="O432" s="690"/>
    </row>
    <row r="433" spans="4:15" s="48" customFormat="1" x14ac:dyDescent="0.25">
      <c r="D433" s="1243"/>
      <c r="E433" s="673"/>
      <c r="F433" s="1379"/>
      <c r="G433" s="1197"/>
      <c r="H433" s="1230"/>
      <c r="I433" s="1230"/>
      <c r="J433" s="1300"/>
      <c r="K433" s="1243"/>
      <c r="L433" s="1300"/>
      <c r="M433" s="690"/>
      <c r="N433" s="690"/>
      <c r="O433" s="690"/>
    </row>
    <row r="434" spans="4:15" s="48" customFormat="1" x14ac:dyDescent="0.25">
      <c r="D434" s="1243"/>
      <c r="E434" s="673"/>
      <c r="F434" s="1379"/>
      <c r="G434" s="1197"/>
      <c r="H434" s="1230"/>
      <c r="I434" s="1230"/>
      <c r="J434" s="1300"/>
      <c r="K434" s="1243"/>
      <c r="L434" s="1300"/>
      <c r="M434" s="690"/>
      <c r="N434" s="690"/>
      <c r="O434" s="690"/>
    </row>
    <row r="435" spans="4:15" s="48" customFormat="1" x14ac:dyDescent="0.25">
      <c r="D435" s="1243"/>
      <c r="E435" s="673"/>
      <c r="F435" s="1379"/>
      <c r="G435" s="1197"/>
      <c r="H435" s="1230"/>
      <c r="I435" s="1230"/>
      <c r="J435" s="1300"/>
      <c r="K435" s="1243"/>
      <c r="L435" s="1300"/>
      <c r="M435" s="690"/>
      <c r="N435" s="690"/>
      <c r="O435" s="690"/>
    </row>
    <row r="436" spans="4:15" s="48" customFormat="1" x14ac:dyDescent="0.25">
      <c r="D436" s="1243"/>
      <c r="E436" s="673"/>
      <c r="F436" s="1379"/>
      <c r="G436" s="1197"/>
      <c r="H436" s="1230"/>
      <c r="I436" s="1230"/>
      <c r="J436" s="1300"/>
      <c r="K436" s="1243"/>
      <c r="L436" s="1300"/>
      <c r="M436" s="690"/>
      <c r="N436" s="690"/>
      <c r="O436" s="690"/>
    </row>
    <row r="437" spans="4:15" s="48" customFormat="1" x14ac:dyDescent="0.25">
      <c r="D437" s="1243"/>
      <c r="E437" s="673"/>
      <c r="F437" s="1379"/>
      <c r="G437" s="1197"/>
      <c r="H437" s="1230"/>
      <c r="I437" s="1230"/>
      <c r="J437" s="1300"/>
      <c r="K437" s="1243"/>
      <c r="L437" s="1300"/>
      <c r="M437" s="690"/>
      <c r="N437" s="690"/>
      <c r="O437" s="690"/>
    </row>
    <row r="438" spans="4:15" s="48" customFormat="1" x14ac:dyDescent="0.25">
      <c r="D438" s="1243"/>
      <c r="E438" s="673"/>
      <c r="F438" s="1379"/>
      <c r="G438" s="1197"/>
      <c r="H438" s="1230"/>
      <c r="I438" s="1230"/>
      <c r="J438" s="1300"/>
      <c r="K438" s="1243"/>
      <c r="L438" s="1300"/>
      <c r="M438" s="690"/>
      <c r="N438" s="690"/>
      <c r="O438" s="690"/>
    </row>
    <row r="439" spans="4:15" s="48" customFormat="1" x14ac:dyDescent="0.25">
      <c r="D439" s="1243"/>
      <c r="E439" s="673"/>
      <c r="F439" s="1379"/>
      <c r="G439" s="1197"/>
      <c r="H439" s="1230"/>
      <c r="I439" s="1230"/>
      <c r="J439" s="1300"/>
      <c r="K439" s="1243"/>
      <c r="L439" s="1300"/>
      <c r="M439" s="690"/>
      <c r="N439" s="690"/>
      <c r="O439" s="690"/>
    </row>
    <row r="440" spans="4:15" s="48" customFormat="1" x14ac:dyDescent="0.25">
      <c r="D440" s="1243"/>
      <c r="E440" s="673"/>
      <c r="F440" s="1379"/>
      <c r="G440" s="1197"/>
      <c r="H440" s="1230"/>
      <c r="I440" s="1230"/>
      <c r="J440" s="1300"/>
      <c r="K440" s="1243"/>
      <c r="L440" s="1300"/>
      <c r="M440" s="690"/>
      <c r="N440" s="690"/>
      <c r="O440" s="690"/>
    </row>
    <row r="441" spans="4:15" s="48" customFormat="1" x14ac:dyDescent="0.25">
      <c r="D441" s="1243"/>
      <c r="E441" s="673"/>
      <c r="F441" s="1379"/>
      <c r="G441" s="1197"/>
      <c r="H441" s="1230"/>
      <c r="I441" s="1230"/>
      <c r="J441" s="1300"/>
      <c r="K441" s="1243"/>
      <c r="L441" s="1300"/>
      <c r="M441" s="690"/>
      <c r="N441" s="690"/>
      <c r="O441" s="690"/>
    </row>
    <row r="442" spans="4:15" s="48" customFormat="1" x14ac:dyDescent="0.25">
      <c r="D442" s="1243"/>
      <c r="E442" s="673"/>
      <c r="F442" s="1379"/>
      <c r="G442" s="1197"/>
      <c r="H442" s="1230"/>
      <c r="I442" s="1230"/>
      <c r="J442" s="1300"/>
      <c r="K442" s="1243"/>
      <c r="L442" s="1300"/>
      <c r="M442" s="690"/>
      <c r="N442" s="690"/>
      <c r="O442" s="690"/>
    </row>
    <row r="443" spans="4:15" s="48" customFormat="1" x14ac:dyDescent="0.25">
      <c r="D443" s="1243"/>
      <c r="E443" s="673"/>
      <c r="F443" s="1379"/>
      <c r="G443" s="1197"/>
      <c r="H443" s="1230"/>
      <c r="I443" s="1230"/>
      <c r="J443" s="1300"/>
      <c r="K443" s="1243"/>
      <c r="L443" s="1300"/>
      <c r="M443" s="690"/>
      <c r="N443" s="690"/>
      <c r="O443" s="690"/>
    </row>
    <row r="444" spans="4:15" s="48" customFormat="1" x14ac:dyDescent="0.25">
      <c r="D444" s="791"/>
      <c r="E444" s="673"/>
      <c r="F444" s="813"/>
      <c r="G444" s="800"/>
      <c r="H444" s="673"/>
      <c r="I444" s="673"/>
      <c r="J444" s="684"/>
      <c r="K444" s="791"/>
      <c r="L444" s="684"/>
      <c r="M444" s="690"/>
      <c r="N444" s="690"/>
      <c r="O444" s="690"/>
    </row>
    <row r="445" spans="4:15" s="48" customFormat="1" x14ac:dyDescent="0.25">
      <c r="D445" s="791"/>
      <c r="E445" s="673"/>
      <c r="F445" s="813"/>
      <c r="G445" s="800"/>
      <c r="H445" s="673"/>
      <c r="I445" s="673"/>
      <c r="J445" s="684"/>
      <c r="K445" s="791"/>
      <c r="L445" s="684"/>
      <c r="M445" s="690"/>
      <c r="N445" s="690"/>
      <c r="O445" s="690"/>
    </row>
    <row r="446" spans="4:15" s="48" customFormat="1" x14ac:dyDescent="0.25">
      <c r="D446" s="791"/>
      <c r="E446" s="673"/>
      <c r="F446" s="813"/>
      <c r="G446" s="800"/>
      <c r="H446" s="673"/>
      <c r="I446" s="673"/>
      <c r="J446" s="684"/>
      <c r="K446" s="791"/>
      <c r="L446" s="684"/>
      <c r="M446" s="690"/>
      <c r="N446" s="690"/>
      <c r="O446" s="690"/>
    </row>
    <row r="447" spans="4:15" s="48" customFormat="1" x14ac:dyDescent="0.25">
      <c r="D447" s="791"/>
      <c r="E447" s="673"/>
      <c r="F447" s="813"/>
      <c r="G447" s="800"/>
      <c r="H447" s="673"/>
      <c r="I447" s="673"/>
      <c r="J447" s="684"/>
      <c r="K447" s="791"/>
      <c r="L447" s="684"/>
      <c r="M447" s="690"/>
      <c r="N447" s="690"/>
      <c r="O447" s="690"/>
    </row>
    <row r="448" spans="4:15" s="48" customFormat="1" x14ac:dyDescent="0.25">
      <c r="D448" s="791"/>
      <c r="E448" s="673"/>
      <c r="F448" s="813"/>
      <c r="G448" s="800"/>
      <c r="H448" s="673"/>
      <c r="I448" s="673"/>
      <c r="J448" s="684"/>
      <c r="K448" s="791"/>
      <c r="L448" s="684"/>
      <c r="M448" s="690"/>
      <c r="N448" s="690"/>
      <c r="O448" s="690"/>
    </row>
    <row r="449" spans="4:15" s="48" customFormat="1" x14ac:dyDescent="0.25">
      <c r="D449" s="791"/>
      <c r="E449" s="673"/>
      <c r="F449" s="813"/>
      <c r="G449" s="800"/>
      <c r="H449" s="673"/>
      <c r="I449" s="673"/>
      <c r="J449" s="684"/>
      <c r="K449" s="791"/>
      <c r="L449" s="684"/>
      <c r="M449" s="690"/>
      <c r="N449" s="690"/>
      <c r="O449" s="690"/>
    </row>
    <row r="450" spans="4:15" s="48" customFormat="1" x14ac:dyDescent="0.25">
      <c r="D450" s="791"/>
      <c r="E450" s="673"/>
      <c r="F450" s="813"/>
      <c r="G450" s="800"/>
      <c r="H450" s="673"/>
      <c r="I450" s="673"/>
      <c r="J450" s="684"/>
      <c r="K450" s="791"/>
      <c r="L450" s="684"/>
      <c r="M450" s="690"/>
      <c r="N450" s="690"/>
      <c r="O450" s="690"/>
    </row>
    <row r="451" spans="4:15" s="48" customFormat="1" x14ac:dyDescent="0.25">
      <c r="D451" s="791"/>
      <c r="E451" s="673"/>
      <c r="F451" s="813"/>
      <c r="G451" s="800"/>
      <c r="H451" s="673"/>
      <c r="I451" s="673"/>
      <c r="J451" s="684"/>
      <c r="K451" s="791"/>
      <c r="L451" s="684"/>
      <c r="M451" s="690"/>
      <c r="N451" s="690"/>
      <c r="O451" s="690"/>
    </row>
    <row r="452" spans="4:15" s="48" customFormat="1" x14ac:dyDescent="0.25">
      <c r="D452" s="791"/>
      <c r="E452" s="673"/>
      <c r="F452" s="813"/>
      <c r="G452" s="800"/>
      <c r="H452" s="673"/>
      <c r="I452" s="673"/>
      <c r="J452" s="684"/>
      <c r="K452" s="791"/>
      <c r="L452" s="684"/>
      <c r="M452" s="690"/>
      <c r="N452" s="690"/>
      <c r="O452" s="690"/>
    </row>
    <row r="453" spans="4:15" s="48" customFormat="1" x14ac:dyDescent="0.25">
      <c r="D453" s="791"/>
      <c r="E453" s="673"/>
      <c r="F453" s="813"/>
      <c r="G453" s="800"/>
      <c r="H453" s="673"/>
      <c r="I453" s="673"/>
      <c r="J453" s="684"/>
      <c r="K453" s="791"/>
      <c r="L453" s="684"/>
      <c r="M453" s="690"/>
      <c r="N453" s="690"/>
      <c r="O453" s="690"/>
    </row>
    <row r="454" spans="4:15" s="48" customFormat="1" x14ac:dyDescent="0.25">
      <c r="D454" s="791"/>
      <c r="E454" s="673"/>
      <c r="F454" s="813"/>
      <c r="G454" s="800"/>
      <c r="H454" s="673"/>
      <c r="I454" s="673"/>
      <c r="J454" s="684"/>
      <c r="K454" s="791"/>
      <c r="L454" s="684"/>
      <c r="M454" s="690"/>
      <c r="N454" s="690"/>
      <c r="O454" s="690"/>
    </row>
    <row r="455" spans="4:15" s="48" customFormat="1" x14ac:dyDescent="0.25">
      <c r="D455" s="791"/>
      <c r="E455" s="673"/>
      <c r="F455" s="813"/>
      <c r="G455" s="800"/>
      <c r="H455" s="673"/>
      <c r="I455" s="673"/>
      <c r="J455" s="684"/>
      <c r="K455" s="791"/>
      <c r="L455" s="684"/>
      <c r="M455" s="690"/>
      <c r="N455" s="690"/>
      <c r="O455" s="690"/>
    </row>
    <row r="456" spans="4:15" s="48" customFormat="1" x14ac:dyDescent="0.25">
      <c r="D456" s="791"/>
      <c r="E456" s="673"/>
      <c r="F456" s="813"/>
      <c r="G456" s="800"/>
      <c r="H456" s="673"/>
      <c r="I456" s="673"/>
      <c r="J456" s="684"/>
      <c r="K456" s="791"/>
      <c r="L456" s="684"/>
      <c r="M456" s="690"/>
      <c r="N456" s="690"/>
      <c r="O456" s="690"/>
    </row>
    <row r="457" spans="4:15" s="48" customFormat="1" x14ac:dyDescent="0.25">
      <c r="D457" s="791"/>
      <c r="E457" s="673"/>
      <c r="F457" s="813"/>
      <c r="G457" s="800"/>
      <c r="H457" s="673"/>
      <c r="I457" s="673"/>
      <c r="J457" s="684"/>
      <c r="K457" s="791"/>
      <c r="L457" s="684"/>
      <c r="M457" s="690"/>
      <c r="N457" s="690"/>
      <c r="O457" s="690"/>
    </row>
    <row r="458" spans="4:15" s="48" customFormat="1" x14ac:dyDescent="0.25">
      <c r="D458" s="791"/>
      <c r="E458" s="673"/>
      <c r="F458" s="813"/>
      <c r="G458" s="800"/>
      <c r="H458" s="673"/>
      <c r="I458" s="673"/>
      <c r="J458" s="684"/>
      <c r="K458" s="791"/>
      <c r="L458" s="684"/>
      <c r="M458" s="690"/>
      <c r="N458" s="690"/>
      <c r="O458" s="690"/>
    </row>
    <row r="459" spans="4:15" s="48" customFormat="1" x14ac:dyDescent="0.25">
      <c r="D459" s="791"/>
      <c r="E459" s="673"/>
      <c r="F459" s="813"/>
      <c r="G459" s="800"/>
      <c r="H459" s="673"/>
      <c r="I459" s="673"/>
      <c r="J459" s="684"/>
      <c r="K459" s="791"/>
      <c r="L459" s="684"/>
      <c r="M459" s="690"/>
      <c r="N459" s="690"/>
      <c r="O459" s="690"/>
    </row>
    <row r="460" spans="4:15" s="48" customFormat="1" x14ac:dyDescent="0.25">
      <c r="D460" s="1300"/>
      <c r="E460" s="673"/>
      <c r="F460" s="1230"/>
      <c r="G460" s="1197"/>
      <c r="H460" s="1230"/>
      <c r="I460" s="1230"/>
      <c r="J460" s="1230"/>
      <c r="K460" s="1230"/>
      <c r="L460" s="1230"/>
      <c r="M460" s="690"/>
      <c r="N460" s="690"/>
      <c r="O460" s="690"/>
    </row>
    <row r="461" spans="4:15" s="48" customFormat="1" x14ac:dyDescent="0.25">
      <c r="D461" s="1300"/>
      <c r="E461" s="673"/>
      <c r="F461" s="1230"/>
      <c r="G461" s="1197"/>
      <c r="H461" s="1230"/>
      <c r="I461" s="1230"/>
      <c r="J461" s="1230"/>
      <c r="K461" s="1230"/>
      <c r="L461" s="1230"/>
      <c r="M461" s="690"/>
      <c r="N461" s="690"/>
      <c r="O461" s="690"/>
    </row>
    <row r="462" spans="4:15" s="48" customFormat="1" x14ac:dyDescent="0.25">
      <c r="D462" s="1300"/>
      <c r="E462" s="673"/>
      <c r="F462" s="1230"/>
      <c r="G462" s="1197"/>
      <c r="H462" s="1230"/>
      <c r="I462" s="1230"/>
      <c r="J462" s="1230"/>
      <c r="K462" s="1230"/>
      <c r="L462" s="1230"/>
      <c r="M462" s="690"/>
      <c r="N462" s="690"/>
      <c r="O462" s="690"/>
    </row>
    <row r="463" spans="4:15" s="48" customFormat="1" x14ac:dyDescent="0.25">
      <c r="D463" s="1300"/>
      <c r="E463" s="673"/>
      <c r="F463" s="1230"/>
      <c r="G463" s="1197"/>
      <c r="H463" s="1230"/>
      <c r="I463" s="1230"/>
      <c r="J463" s="1230"/>
      <c r="K463" s="1230"/>
      <c r="L463" s="1230"/>
      <c r="M463" s="690"/>
      <c r="N463" s="690"/>
      <c r="O463" s="690"/>
    </row>
    <row r="464" spans="4:15" s="48" customFormat="1" x14ac:dyDescent="0.25">
      <c r="D464" s="1300"/>
      <c r="E464" s="673"/>
      <c r="F464" s="1230"/>
      <c r="G464" s="1197"/>
      <c r="H464" s="1230"/>
      <c r="I464" s="1230"/>
      <c r="J464" s="1230"/>
      <c r="K464" s="1230"/>
      <c r="L464" s="1230"/>
      <c r="M464" s="690"/>
      <c r="N464" s="690"/>
      <c r="O464" s="690"/>
    </row>
    <row r="465" spans="4:15" s="48" customFormat="1" x14ac:dyDescent="0.25">
      <c r="D465" s="1300"/>
      <c r="E465" s="673"/>
      <c r="F465" s="1230"/>
      <c r="G465" s="1197"/>
      <c r="H465" s="1230"/>
      <c r="I465" s="1230"/>
      <c r="J465" s="1230"/>
      <c r="K465" s="1230"/>
      <c r="L465" s="1230"/>
      <c r="M465" s="690"/>
      <c r="N465" s="690"/>
      <c r="O465" s="690"/>
    </row>
    <row r="466" spans="4:15" s="48" customFormat="1" x14ac:dyDescent="0.25">
      <c r="D466" s="1300"/>
      <c r="E466" s="673"/>
      <c r="F466" s="1230"/>
      <c r="G466" s="1197"/>
      <c r="H466" s="1230"/>
      <c r="I466" s="1230"/>
      <c r="J466" s="1230"/>
      <c r="K466" s="1230"/>
      <c r="L466" s="1230"/>
      <c r="M466" s="690"/>
      <c r="N466" s="690"/>
      <c r="O466" s="690"/>
    </row>
    <row r="467" spans="4:15" s="48" customFormat="1" x14ac:dyDescent="0.25">
      <c r="D467" s="1300"/>
      <c r="E467" s="673"/>
      <c r="F467" s="1230"/>
      <c r="G467" s="1197"/>
      <c r="H467" s="1230"/>
      <c r="I467" s="1230"/>
      <c r="J467" s="1230"/>
      <c r="K467" s="1230"/>
      <c r="L467" s="1230"/>
      <c r="M467" s="690"/>
      <c r="N467" s="690"/>
      <c r="O467" s="690"/>
    </row>
    <row r="468" spans="4:15" s="48" customFormat="1" x14ac:dyDescent="0.25">
      <c r="N468" s="707"/>
      <c r="O468" s="707"/>
    </row>
    <row r="469" spans="4:15" s="48" customFormat="1" x14ac:dyDescent="0.25">
      <c r="N469" s="707"/>
      <c r="O469" s="707"/>
    </row>
    <row r="470" spans="4:15" s="48" customFormat="1" x14ac:dyDescent="0.25">
      <c r="N470" s="707"/>
      <c r="O470" s="707"/>
    </row>
    <row r="471" spans="4:15" x14ac:dyDescent="0.25">
      <c r="D471" s="37"/>
      <c r="E471" s="37"/>
      <c r="F471" s="37"/>
      <c r="G471" s="37"/>
      <c r="H471" s="37"/>
      <c r="I471" s="37"/>
      <c r="J471" s="37"/>
      <c r="K471" s="37"/>
      <c r="L471" s="37"/>
      <c r="M471" s="37"/>
    </row>
    <row r="472" spans="4:15" x14ac:dyDescent="0.25">
      <c r="D472" s="37"/>
      <c r="E472" s="37"/>
      <c r="F472" s="37"/>
      <c r="G472" s="799"/>
      <c r="H472" s="309"/>
      <c r="I472" s="37"/>
      <c r="J472" s="37"/>
      <c r="K472" s="37"/>
      <c r="L472" s="37"/>
      <c r="M472" s="51"/>
    </row>
    <row r="473" spans="4:15" x14ac:dyDescent="0.25">
      <c r="D473" s="37"/>
      <c r="E473" s="37"/>
      <c r="F473" s="37"/>
      <c r="G473" s="814"/>
      <c r="H473" s="309"/>
      <c r="I473" s="37"/>
      <c r="J473" s="37"/>
      <c r="K473" s="37"/>
      <c r="L473" s="37"/>
      <c r="M473" s="51"/>
    </row>
    <row r="474" spans="4:15" x14ac:dyDescent="0.25">
      <c r="D474" s="37"/>
      <c r="E474" s="37"/>
      <c r="F474" s="37"/>
      <c r="G474" s="814"/>
      <c r="H474" s="309"/>
      <c r="I474" s="37"/>
      <c r="J474" s="37"/>
      <c r="K474" s="37"/>
      <c r="L474" s="37"/>
      <c r="M474" s="51"/>
    </row>
  </sheetData>
  <autoFilter ref="C14:O32" xr:uid="{00000000-0009-0000-0000-000012000000}"/>
  <mergeCells count="763">
    <mergeCell ref="B8:O8"/>
    <mergeCell ref="B9:O9"/>
    <mergeCell ref="B11:B13"/>
    <mergeCell ref="C11:C13"/>
    <mergeCell ref="D11:D13"/>
    <mergeCell ref="F11:F13"/>
    <mergeCell ref="G11:G13"/>
    <mergeCell ref="H11:L11"/>
    <mergeCell ref="M11:O11"/>
    <mergeCell ref="H12:H13"/>
    <mergeCell ref="I12:I13"/>
    <mergeCell ref="J12:L12"/>
    <mergeCell ref="M12:M13"/>
    <mergeCell ref="N12:N13"/>
    <mergeCell ref="O12:O13"/>
    <mergeCell ref="D64:D67"/>
    <mergeCell ref="D72:D75"/>
    <mergeCell ref="F72:F75"/>
    <mergeCell ref="G72:G75"/>
    <mergeCell ref="H72:H75"/>
    <mergeCell ref="B15:L15"/>
    <mergeCell ref="F64:F67"/>
    <mergeCell ref="G64:G67"/>
    <mergeCell ref="H64:H67"/>
    <mergeCell ref="I64:I67"/>
    <mergeCell ref="J64:J67"/>
    <mergeCell ref="K64:K67"/>
    <mergeCell ref="D36:D38"/>
    <mergeCell ref="F36:F38"/>
    <mergeCell ref="C36:C38"/>
    <mergeCell ref="C60:D60"/>
    <mergeCell ref="B57:H57"/>
    <mergeCell ref="C59:F59"/>
    <mergeCell ref="B36:B38"/>
    <mergeCell ref="L64:L67"/>
    <mergeCell ref="D76:D79"/>
    <mergeCell ref="F76:F79"/>
    <mergeCell ref="G76:G79"/>
    <mergeCell ref="I76:I79"/>
    <mergeCell ref="J68:J71"/>
    <mergeCell ref="L76:L79"/>
    <mergeCell ref="I72:I75"/>
    <mergeCell ref="J72:J75"/>
    <mergeCell ref="K72:K75"/>
    <mergeCell ref="L72:L75"/>
    <mergeCell ref="D68:D71"/>
    <mergeCell ref="F68:F71"/>
    <mergeCell ref="G68:G71"/>
    <mergeCell ref="H68:H71"/>
    <mergeCell ref="I68:I71"/>
    <mergeCell ref="K68:K71"/>
    <mergeCell ref="L68:L71"/>
    <mergeCell ref="H76:H79"/>
    <mergeCell ref="J76:J79"/>
    <mergeCell ref="K76:K79"/>
    <mergeCell ref="J80:J83"/>
    <mergeCell ref="K80:K83"/>
    <mergeCell ref="L80:L83"/>
    <mergeCell ref="L88:L91"/>
    <mergeCell ref="J84:J87"/>
    <mergeCell ref="K88:K91"/>
    <mergeCell ref="K84:K87"/>
    <mergeCell ref="L84:L87"/>
    <mergeCell ref="J88:J91"/>
    <mergeCell ref="D80:D83"/>
    <mergeCell ref="F80:F83"/>
    <mergeCell ref="G80:G83"/>
    <mergeCell ref="D88:D91"/>
    <mergeCell ref="E88:E90"/>
    <mergeCell ref="F88:F91"/>
    <mergeCell ref="G88:G91"/>
    <mergeCell ref="H84:H87"/>
    <mergeCell ref="I84:I87"/>
    <mergeCell ref="D84:D87"/>
    <mergeCell ref="F84:F87"/>
    <mergeCell ref="G84:G87"/>
    <mergeCell ref="H80:H83"/>
    <mergeCell ref="H88:H91"/>
    <mergeCell ref="I88:I91"/>
    <mergeCell ref="I80:I83"/>
    <mergeCell ref="L96:L99"/>
    <mergeCell ref="L92:L95"/>
    <mergeCell ref="H92:H95"/>
    <mergeCell ref="I92:I95"/>
    <mergeCell ref="H96:H99"/>
    <mergeCell ref="I96:I99"/>
    <mergeCell ref="D96:D99"/>
    <mergeCell ref="E96:E98"/>
    <mergeCell ref="F96:F99"/>
    <mergeCell ref="G96:G99"/>
    <mergeCell ref="D100:D103"/>
    <mergeCell ref="F100:F103"/>
    <mergeCell ref="G100:G103"/>
    <mergeCell ref="J92:J95"/>
    <mergeCell ref="K92:K95"/>
    <mergeCell ref="D92:D95"/>
    <mergeCell ref="E92:E94"/>
    <mergeCell ref="F92:F95"/>
    <mergeCell ref="G92:G95"/>
    <mergeCell ref="K100:K103"/>
    <mergeCell ref="K96:K99"/>
    <mergeCell ref="J96:J99"/>
    <mergeCell ref="L100:L103"/>
    <mergeCell ref="H104:H107"/>
    <mergeCell ref="I104:I107"/>
    <mergeCell ref="J104:J107"/>
    <mergeCell ref="K104:K107"/>
    <mergeCell ref="L104:L107"/>
    <mergeCell ref="H100:H103"/>
    <mergeCell ref="I100:I103"/>
    <mergeCell ref="J100:J103"/>
    <mergeCell ref="L108:L111"/>
    <mergeCell ref="D108:D111"/>
    <mergeCell ref="E108:E110"/>
    <mergeCell ref="F108:F111"/>
    <mergeCell ref="G108:G111"/>
    <mergeCell ref="H112:H115"/>
    <mergeCell ref="H108:H111"/>
    <mergeCell ref="I108:I111"/>
    <mergeCell ref="J108:J111"/>
    <mergeCell ref="K108:K111"/>
    <mergeCell ref="I112:I115"/>
    <mergeCell ref="J112:J115"/>
    <mergeCell ref="K112:K115"/>
    <mergeCell ref="L112:L115"/>
    <mergeCell ref="D116:D119"/>
    <mergeCell ref="F116:F119"/>
    <mergeCell ref="G116:G119"/>
    <mergeCell ref="D112:D115"/>
    <mergeCell ref="F112:F115"/>
    <mergeCell ref="G112:G115"/>
    <mergeCell ref="D124:D127"/>
    <mergeCell ref="E124:E126"/>
    <mergeCell ref="F124:F127"/>
    <mergeCell ref="G124:G127"/>
    <mergeCell ref="J120:J123"/>
    <mergeCell ref="K120:K123"/>
    <mergeCell ref="L120:L123"/>
    <mergeCell ref="D120:D123"/>
    <mergeCell ref="E120:E122"/>
    <mergeCell ref="F120:F123"/>
    <mergeCell ref="G120:G123"/>
    <mergeCell ref="H124:H127"/>
    <mergeCell ref="I124:I127"/>
    <mergeCell ref="H120:H123"/>
    <mergeCell ref="I120:I123"/>
    <mergeCell ref="H116:H119"/>
    <mergeCell ref="I116:I119"/>
    <mergeCell ref="J124:J127"/>
    <mergeCell ref="K124:K127"/>
    <mergeCell ref="L124:L127"/>
    <mergeCell ref="J116:J119"/>
    <mergeCell ref="K116:K119"/>
    <mergeCell ref="L116:L119"/>
    <mergeCell ref="D140:D143"/>
    <mergeCell ref="F140:F143"/>
    <mergeCell ref="G140:G143"/>
    <mergeCell ref="D136:D139"/>
    <mergeCell ref="F136:F139"/>
    <mergeCell ref="G136:G139"/>
    <mergeCell ref="K132:K135"/>
    <mergeCell ref="L132:L135"/>
    <mergeCell ref="I128:I131"/>
    <mergeCell ref="J128:J131"/>
    <mergeCell ref="K128:K131"/>
    <mergeCell ref="L128:L131"/>
    <mergeCell ref="D132:D135"/>
    <mergeCell ref="F132:F135"/>
    <mergeCell ref="G132:G135"/>
    <mergeCell ref="D128:D131"/>
    <mergeCell ref="F128:F131"/>
    <mergeCell ref="G128:G131"/>
    <mergeCell ref="H128:H131"/>
    <mergeCell ref="H140:H143"/>
    <mergeCell ref="I140:I143"/>
    <mergeCell ref="J140:J143"/>
    <mergeCell ref="H136:H139"/>
    <mergeCell ref="H132:H135"/>
    <mergeCell ref="I132:I135"/>
    <mergeCell ref="J132:J135"/>
    <mergeCell ref="K140:K143"/>
    <mergeCell ref="L140:L143"/>
    <mergeCell ref="I136:I139"/>
    <mergeCell ref="J136:J139"/>
    <mergeCell ref="K136:K139"/>
    <mergeCell ref="L136:L139"/>
    <mergeCell ref="L152:L155"/>
    <mergeCell ref="D156:D159"/>
    <mergeCell ref="E156:E158"/>
    <mergeCell ref="F156:F159"/>
    <mergeCell ref="K156:K159"/>
    <mergeCell ref="K152:K155"/>
    <mergeCell ref="K148:K151"/>
    <mergeCell ref="L148:L151"/>
    <mergeCell ref="I144:I147"/>
    <mergeCell ref="J144:J147"/>
    <mergeCell ref="K144:K147"/>
    <mergeCell ref="L144:L147"/>
    <mergeCell ref="D148:D151"/>
    <mergeCell ref="F148:F151"/>
    <mergeCell ref="G148:G151"/>
    <mergeCell ref="D144:D147"/>
    <mergeCell ref="F144:F147"/>
    <mergeCell ref="G144:G147"/>
    <mergeCell ref="H156:H159"/>
    <mergeCell ref="I156:I159"/>
    <mergeCell ref="J156:J159"/>
    <mergeCell ref="I152:I155"/>
    <mergeCell ref="J152:J155"/>
    <mergeCell ref="D152:D155"/>
    <mergeCell ref="F152:F155"/>
    <mergeCell ref="G152:G155"/>
    <mergeCell ref="H152:H155"/>
    <mergeCell ref="G156:G159"/>
    <mergeCell ref="D104:D107"/>
    <mergeCell ref="F104:F107"/>
    <mergeCell ref="G104:G107"/>
    <mergeCell ref="K164:K167"/>
    <mergeCell ref="L164:L167"/>
    <mergeCell ref="J164:J167"/>
    <mergeCell ref="L156:L159"/>
    <mergeCell ref="D160:D163"/>
    <mergeCell ref="F160:F163"/>
    <mergeCell ref="D164:D167"/>
    <mergeCell ref="F164:F167"/>
    <mergeCell ref="G164:G167"/>
    <mergeCell ref="H164:H167"/>
    <mergeCell ref="I164:I167"/>
    <mergeCell ref="G160:G163"/>
    <mergeCell ref="H160:H163"/>
    <mergeCell ref="I160:I163"/>
    <mergeCell ref="J160:J163"/>
    <mergeCell ref="K160:K163"/>
    <mergeCell ref="L160:L163"/>
    <mergeCell ref="H148:H151"/>
    <mergeCell ref="I148:I151"/>
    <mergeCell ref="J148:J151"/>
    <mergeCell ref="H144:H147"/>
    <mergeCell ref="I180:I183"/>
    <mergeCell ref="L172:L175"/>
    <mergeCell ref="J168:J171"/>
    <mergeCell ref="K168:K171"/>
    <mergeCell ref="L168:L171"/>
    <mergeCell ref="D172:D175"/>
    <mergeCell ref="E172:E173"/>
    <mergeCell ref="F172:F175"/>
    <mergeCell ref="G172:G175"/>
    <mergeCell ref="D168:D171"/>
    <mergeCell ref="F168:F171"/>
    <mergeCell ref="G168:G171"/>
    <mergeCell ref="H168:H171"/>
    <mergeCell ref="I168:I171"/>
    <mergeCell ref="D180:D183"/>
    <mergeCell ref="F180:F183"/>
    <mergeCell ref="G180:G183"/>
    <mergeCell ref="H172:H175"/>
    <mergeCell ref="K180:K183"/>
    <mergeCell ref="K184:K187"/>
    <mergeCell ref="L184:L187"/>
    <mergeCell ref="H180:H183"/>
    <mergeCell ref="L180:L183"/>
    <mergeCell ref="B64:B75"/>
    <mergeCell ref="B116:B127"/>
    <mergeCell ref="B148:B151"/>
    <mergeCell ref="G184:G187"/>
    <mergeCell ref="H184:H187"/>
    <mergeCell ref="B164:B183"/>
    <mergeCell ref="C176:C195"/>
    <mergeCell ref="J180:J183"/>
    <mergeCell ref="I172:I175"/>
    <mergeCell ref="J172:J175"/>
    <mergeCell ref="K172:K175"/>
    <mergeCell ref="I176:I179"/>
    <mergeCell ref="J176:J179"/>
    <mergeCell ref="K176:K179"/>
    <mergeCell ref="I188:I191"/>
    <mergeCell ref="J188:J191"/>
    <mergeCell ref="K188:K191"/>
    <mergeCell ref="L176:L179"/>
    <mergeCell ref="D176:D179"/>
    <mergeCell ref="F176:F179"/>
    <mergeCell ref="L204:L207"/>
    <mergeCell ref="I200:I203"/>
    <mergeCell ref="J200:J203"/>
    <mergeCell ref="K200:K203"/>
    <mergeCell ref="L200:L203"/>
    <mergeCell ref="C64:C67"/>
    <mergeCell ref="D204:D207"/>
    <mergeCell ref="F204:F207"/>
    <mergeCell ref="G204:G207"/>
    <mergeCell ref="D200:D203"/>
    <mergeCell ref="L196:L199"/>
    <mergeCell ref="I192:I195"/>
    <mergeCell ref="J192:J195"/>
    <mergeCell ref="K192:K195"/>
    <mergeCell ref="L192:L195"/>
    <mergeCell ref="H200:H203"/>
    <mergeCell ref="H196:H199"/>
    <mergeCell ref="I196:I199"/>
    <mergeCell ref="J196:J199"/>
    <mergeCell ref="C72:C87"/>
    <mergeCell ref="C68:C71"/>
    <mergeCell ref="L188:L191"/>
    <mergeCell ref="I184:I187"/>
    <mergeCell ref="J184:J187"/>
    <mergeCell ref="H188:H191"/>
    <mergeCell ref="D188:D191"/>
    <mergeCell ref="F188:F191"/>
    <mergeCell ref="G188:G191"/>
    <mergeCell ref="D184:D187"/>
    <mergeCell ref="C160:C163"/>
    <mergeCell ref="F184:F187"/>
    <mergeCell ref="F200:F203"/>
    <mergeCell ref="G200:G203"/>
    <mergeCell ref="D196:D199"/>
    <mergeCell ref="G176:G179"/>
    <mergeCell ref="H176:H179"/>
    <mergeCell ref="L208:L211"/>
    <mergeCell ref="H216:H219"/>
    <mergeCell ref="L216:L219"/>
    <mergeCell ref="I216:I219"/>
    <mergeCell ref="J216:J219"/>
    <mergeCell ref="K216:K219"/>
    <mergeCell ref="K220:K223"/>
    <mergeCell ref="J212:J215"/>
    <mergeCell ref="C128:C139"/>
    <mergeCell ref="H208:H211"/>
    <mergeCell ref="H204:H207"/>
    <mergeCell ref="I204:I207"/>
    <mergeCell ref="J204:J207"/>
    <mergeCell ref="K204:K207"/>
    <mergeCell ref="F212:F215"/>
    <mergeCell ref="G212:G215"/>
    <mergeCell ref="K212:K215"/>
    <mergeCell ref="K196:K199"/>
    <mergeCell ref="F196:F199"/>
    <mergeCell ref="G196:G199"/>
    <mergeCell ref="D192:D195"/>
    <mergeCell ref="F192:F195"/>
    <mergeCell ref="G192:G195"/>
    <mergeCell ref="H192:H195"/>
    <mergeCell ref="L220:L223"/>
    <mergeCell ref="G216:G219"/>
    <mergeCell ref="L224:L227"/>
    <mergeCell ref="B76:B95"/>
    <mergeCell ref="C88:C107"/>
    <mergeCell ref="B96:B115"/>
    <mergeCell ref="C108:C127"/>
    <mergeCell ref="H212:H215"/>
    <mergeCell ref="D216:D231"/>
    <mergeCell ref="F216:F231"/>
    <mergeCell ref="G228:G231"/>
    <mergeCell ref="H228:H231"/>
    <mergeCell ref="G224:G227"/>
    <mergeCell ref="H224:H227"/>
    <mergeCell ref="I212:I215"/>
    <mergeCell ref="K224:K227"/>
    <mergeCell ref="G220:G223"/>
    <mergeCell ref="H220:H223"/>
    <mergeCell ref="I220:I223"/>
    <mergeCell ref="J220:J223"/>
    <mergeCell ref="L212:L215"/>
    <mergeCell ref="I208:I211"/>
    <mergeCell ref="J208:J211"/>
    <mergeCell ref="K208:K211"/>
    <mergeCell ref="I228:I231"/>
    <mergeCell ref="J228:J231"/>
    <mergeCell ref="K228:K231"/>
    <mergeCell ref="L228:L231"/>
    <mergeCell ref="K240:K243"/>
    <mergeCell ref="L240:L243"/>
    <mergeCell ref="L236:L239"/>
    <mergeCell ref="I224:I227"/>
    <mergeCell ref="J224:J227"/>
    <mergeCell ref="I240:I243"/>
    <mergeCell ref="J240:J243"/>
    <mergeCell ref="I232:I235"/>
    <mergeCell ref="J232:J235"/>
    <mergeCell ref="K232:K235"/>
    <mergeCell ref="L232:L235"/>
    <mergeCell ref="K268:K271"/>
    <mergeCell ref="L268:L271"/>
    <mergeCell ref="L244:L247"/>
    <mergeCell ref="G248:G251"/>
    <mergeCell ref="H248:H251"/>
    <mergeCell ref="I248:I251"/>
    <mergeCell ref="J248:J251"/>
    <mergeCell ref="K248:K251"/>
    <mergeCell ref="H236:H239"/>
    <mergeCell ref="I236:I239"/>
    <mergeCell ref="J236:J239"/>
    <mergeCell ref="K236:K239"/>
    <mergeCell ref="I244:I247"/>
    <mergeCell ref="J244:J247"/>
    <mergeCell ref="K244:K247"/>
    <mergeCell ref="G236:G239"/>
    <mergeCell ref="L248:L251"/>
    <mergeCell ref="G244:G247"/>
    <mergeCell ref="H244:H247"/>
    <mergeCell ref="G264:G267"/>
    <mergeCell ref="H264:H267"/>
    <mergeCell ref="G260:G263"/>
    <mergeCell ref="H260:H263"/>
    <mergeCell ref="K252:K255"/>
    <mergeCell ref="L264:L267"/>
    <mergeCell ref="J256:J259"/>
    <mergeCell ref="K256:K259"/>
    <mergeCell ref="L256:L259"/>
    <mergeCell ref="K260:K263"/>
    <mergeCell ref="L260:L263"/>
    <mergeCell ref="I260:I263"/>
    <mergeCell ref="J260:J263"/>
    <mergeCell ref="I252:I255"/>
    <mergeCell ref="J252:J255"/>
    <mergeCell ref="K264:K267"/>
    <mergeCell ref="J288:J291"/>
    <mergeCell ref="K284:K287"/>
    <mergeCell ref="J296:J299"/>
    <mergeCell ref="K280:K283"/>
    <mergeCell ref="L280:L283"/>
    <mergeCell ref="B128:B147"/>
    <mergeCell ref="C140:C159"/>
    <mergeCell ref="D284:D303"/>
    <mergeCell ref="F284:F303"/>
    <mergeCell ref="G284:G287"/>
    <mergeCell ref="H284:H287"/>
    <mergeCell ref="I284:I287"/>
    <mergeCell ref="K272:K275"/>
    <mergeCell ref="L272:L275"/>
    <mergeCell ref="G276:G279"/>
    <mergeCell ref="H276:H279"/>
    <mergeCell ref="I276:I279"/>
    <mergeCell ref="J276:J279"/>
    <mergeCell ref="K276:K279"/>
    <mergeCell ref="L276:L279"/>
    <mergeCell ref="D272:D283"/>
    <mergeCell ref="F272:F283"/>
    <mergeCell ref="I256:I259"/>
    <mergeCell ref="L252:L255"/>
    <mergeCell ref="F304:F307"/>
    <mergeCell ref="G304:G307"/>
    <mergeCell ref="H304:H307"/>
    <mergeCell ref="G292:G295"/>
    <mergeCell ref="H292:H295"/>
    <mergeCell ref="G300:G303"/>
    <mergeCell ref="H300:H303"/>
    <mergeCell ref="G296:G299"/>
    <mergeCell ref="H296:H299"/>
    <mergeCell ref="I268:I271"/>
    <mergeCell ref="I272:I275"/>
    <mergeCell ref="J272:J275"/>
    <mergeCell ref="G280:G283"/>
    <mergeCell ref="H280:H283"/>
    <mergeCell ref="I280:I283"/>
    <mergeCell ref="J280:J283"/>
    <mergeCell ref="I264:I267"/>
    <mergeCell ref="J264:J267"/>
    <mergeCell ref="G272:G275"/>
    <mergeCell ref="H272:H275"/>
    <mergeCell ref="J268:J271"/>
    <mergeCell ref="G268:G271"/>
    <mergeCell ref="G288:G291"/>
    <mergeCell ref="H288:H291"/>
    <mergeCell ref="H232:H235"/>
    <mergeCell ref="D212:D215"/>
    <mergeCell ref="G240:G243"/>
    <mergeCell ref="H240:H243"/>
    <mergeCell ref="D208:D211"/>
    <mergeCell ref="F208:F211"/>
    <mergeCell ref="G208:G211"/>
    <mergeCell ref="H268:H271"/>
    <mergeCell ref="H256:H259"/>
    <mergeCell ref="D252:D271"/>
    <mergeCell ref="D232:D251"/>
    <mergeCell ref="F232:F251"/>
    <mergeCell ref="G232:G235"/>
    <mergeCell ref="F252:F271"/>
    <mergeCell ref="G252:G255"/>
    <mergeCell ref="H252:H255"/>
    <mergeCell ref="G256:G259"/>
    <mergeCell ref="J304:J307"/>
    <mergeCell ref="K304:K307"/>
    <mergeCell ref="L304:L307"/>
    <mergeCell ref="B152:B163"/>
    <mergeCell ref="C164:C175"/>
    <mergeCell ref="B220:B227"/>
    <mergeCell ref="C232:C239"/>
    <mergeCell ref="K300:K303"/>
    <mergeCell ref="L300:L303"/>
    <mergeCell ref="I304:I307"/>
    <mergeCell ref="I300:I303"/>
    <mergeCell ref="J300:J303"/>
    <mergeCell ref="L284:L287"/>
    <mergeCell ref="L288:L291"/>
    <mergeCell ref="L292:L295"/>
    <mergeCell ref="I296:I299"/>
    <mergeCell ref="K296:K299"/>
    <mergeCell ref="L296:L299"/>
    <mergeCell ref="K288:K291"/>
    <mergeCell ref="I292:I295"/>
    <mergeCell ref="J292:J295"/>
    <mergeCell ref="K292:K295"/>
    <mergeCell ref="J284:J287"/>
    <mergeCell ref="I288:I291"/>
    <mergeCell ref="K328:K331"/>
    <mergeCell ref="K308:K311"/>
    <mergeCell ref="L308:L311"/>
    <mergeCell ref="G312:G315"/>
    <mergeCell ref="H312:H315"/>
    <mergeCell ref="I312:I315"/>
    <mergeCell ref="J312:J315"/>
    <mergeCell ref="K312:K315"/>
    <mergeCell ref="L312:L315"/>
    <mergeCell ref="G308:G311"/>
    <mergeCell ref="H308:H311"/>
    <mergeCell ref="I308:I311"/>
    <mergeCell ref="J308:J311"/>
    <mergeCell ref="G316:G319"/>
    <mergeCell ref="H316:H319"/>
    <mergeCell ref="I316:I319"/>
    <mergeCell ref="J316:J319"/>
    <mergeCell ref="K320:K323"/>
    <mergeCell ref="J320:J323"/>
    <mergeCell ref="H324:H327"/>
    <mergeCell ref="I324:I327"/>
    <mergeCell ref="J324:J327"/>
    <mergeCell ref="I320:I323"/>
    <mergeCell ref="K316:K319"/>
    <mergeCell ref="K324:K327"/>
    <mergeCell ref="L316:L319"/>
    <mergeCell ref="H320:H323"/>
    <mergeCell ref="L336:L339"/>
    <mergeCell ref="B184:B215"/>
    <mergeCell ref="C196:C227"/>
    <mergeCell ref="D340:D371"/>
    <mergeCell ref="F340:F371"/>
    <mergeCell ref="G340:G343"/>
    <mergeCell ref="H340:H343"/>
    <mergeCell ref="I340:I343"/>
    <mergeCell ref="J340:J343"/>
    <mergeCell ref="G328:G331"/>
    <mergeCell ref="G336:G339"/>
    <mergeCell ref="H336:H339"/>
    <mergeCell ref="I336:I339"/>
    <mergeCell ref="J336:J339"/>
    <mergeCell ref="I328:I331"/>
    <mergeCell ref="J328:J331"/>
    <mergeCell ref="L320:L323"/>
    <mergeCell ref="L324:L327"/>
    <mergeCell ref="K336:K339"/>
    <mergeCell ref="L328:L331"/>
    <mergeCell ref="G332:G335"/>
    <mergeCell ref="H332:H335"/>
    <mergeCell ref="I332:I335"/>
    <mergeCell ref="J332:J335"/>
    <mergeCell ref="I348:I351"/>
    <mergeCell ref="J348:J351"/>
    <mergeCell ref="K348:K351"/>
    <mergeCell ref="K340:K343"/>
    <mergeCell ref="L340:L343"/>
    <mergeCell ref="I344:I347"/>
    <mergeCell ref="J344:J347"/>
    <mergeCell ref="K344:K347"/>
    <mergeCell ref="L348:L351"/>
    <mergeCell ref="L344:L347"/>
    <mergeCell ref="K332:K335"/>
    <mergeCell ref="L332:L335"/>
    <mergeCell ref="K360:K363"/>
    <mergeCell ref="L360:L363"/>
    <mergeCell ref="G356:G359"/>
    <mergeCell ref="H356:H359"/>
    <mergeCell ref="I356:I359"/>
    <mergeCell ref="J356:J359"/>
    <mergeCell ref="K356:K359"/>
    <mergeCell ref="G352:G355"/>
    <mergeCell ref="H352:H355"/>
    <mergeCell ref="I352:I355"/>
    <mergeCell ref="J352:J355"/>
    <mergeCell ref="K352:K355"/>
    <mergeCell ref="L352:L355"/>
    <mergeCell ref="L356:L359"/>
    <mergeCell ref="H360:H363"/>
    <mergeCell ref="I360:I363"/>
    <mergeCell ref="J360:J363"/>
    <mergeCell ref="I376:I379"/>
    <mergeCell ref="J376:J379"/>
    <mergeCell ref="K376:K379"/>
    <mergeCell ref="G380:G383"/>
    <mergeCell ref="H380:H383"/>
    <mergeCell ref="I380:I383"/>
    <mergeCell ref="J380:J383"/>
    <mergeCell ref="G376:G379"/>
    <mergeCell ref="B216:B219"/>
    <mergeCell ref="C228:C231"/>
    <mergeCell ref="D372:D375"/>
    <mergeCell ref="F372:F375"/>
    <mergeCell ref="G372:G375"/>
    <mergeCell ref="B264:B275"/>
    <mergeCell ref="C276:C287"/>
    <mergeCell ref="G324:G327"/>
    <mergeCell ref="G368:G371"/>
    <mergeCell ref="G364:G367"/>
    <mergeCell ref="G360:G363"/>
    <mergeCell ref="G348:G351"/>
    <mergeCell ref="B228:B231"/>
    <mergeCell ref="C240:C243"/>
    <mergeCell ref="B232:B243"/>
    <mergeCell ref="C244:C255"/>
    <mergeCell ref="I388:I391"/>
    <mergeCell ref="J388:J391"/>
    <mergeCell ref="L380:L383"/>
    <mergeCell ref="L376:L379"/>
    <mergeCell ref="L372:L375"/>
    <mergeCell ref="I372:I375"/>
    <mergeCell ref="J372:J375"/>
    <mergeCell ref="K372:K375"/>
    <mergeCell ref="H364:H367"/>
    <mergeCell ref="H368:H371"/>
    <mergeCell ref="I368:I371"/>
    <mergeCell ref="J368:J371"/>
    <mergeCell ref="K384:K387"/>
    <mergeCell ref="L384:L387"/>
    <mergeCell ref="K368:K371"/>
    <mergeCell ref="L368:L371"/>
    <mergeCell ref="I364:I367"/>
    <mergeCell ref="J364:J367"/>
    <mergeCell ref="K364:K367"/>
    <mergeCell ref="L364:L367"/>
    <mergeCell ref="H384:H387"/>
    <mergeCell ref="I384:I387"/>
    <mergeCell ref="J384:J387"/>
    <mergeCell ref="K380:K383"/>
    <mergeCell ref="B244:B255"/>
    <mergeCell ref="C256:C267"/>
    <mergeCell ref="D400:D411"/>
    <mergeCell ref="F400:F411"/>
    <mergeCell ref="G400:G403"/>
    <mergeCell ref="H400:H403"/>
    <mergeCell ref="G396:G399"/>
    <mergeCell ref="H396:H399"/>
    <mergeCell ref="H376:H379"/>
    <mergeCell ref="D308:D319"/>
    <mergeCell ref="G392:G395"/>
    <mergeCell ref="H392:H395"/>
    <mergeCell ref="D388:D399"/>
    <mergeCell ref="F388:F399"/>
    <mergeCell ref="G388:G391"/>
    <mergeCell ref="H388:H391"/>
    <mergeCell ref="D384:D387"/>
    <mergeCell ref="F384:F387"/>
    <mergeCell ref="G384:G387"/>
    <mergeCell ref="D320:D339"/>
    <mergeCell ref="F320:F339"/>
    <mergeCell ref="G320:G323"/>
    <mergeCell ref="F308:F319"/>
    <mergeCell ref="D304:D307"/>
    <mergeCell ref="L408:L411"/>
    <mergeCell ref="B256:B263"/>
    <mergeCell ref="C268:C275"/>
    <mergeCell ref="I400:I403"/>
    <mergeCell ref="J400:J403"/>
    <mergeCell ref="I408:I411"/>
    <mergeCell ref="J408:J411"/>
    <mergeCell ref="K408:K411"/>
    <mergeCell ref="K400:K403"/>
    <mergeCell ref="I396:I399"/>
    <mergeCell ref="J396:J399"/>
    <mergeCell ref="L404:L407"/>
    <mergeCell ref="L396:L399"/>
    <mergeCell ref="K396:K399"/>
    <mergeCell ref="L400:L403"/>
    <mergeCell ref="I404:I407"/>
    <mergeCell ref="J404:J407"/>
    <mergeCell ref="K404:K407"/>
    <mergeCell ref="K388:K391"/>
    <mergeCell ref="L388:L391"/>
    <mergeCell ref="I392:I395"/>
    <mergeCell ref="J392:J395"/>
    <mergeCell ref="K392:K395"/>
    <mergeCell ref="L392:L395"/>
    <mergeCell ref="I416:I419"/>
    <mergeCell ref="J416:J419"/>
    <mergeCell ref="K416:K419"/>
    <mergeCell ref="L416:L419"/>
    <mergeCell ref="D412:D419"/>
    <mergeCell ref="F412:F419"/>
    <mergeCell ref="G412:G415"/>
    <mergeCell ref="H412:H415"/>
    <mergeCell ref="I412:I415"/>
    <mergeCell ref="J412:J415"/>
    <mergeCell ref="I428:I431"/>
    <mergeCell ref="J428:J431"/>
    <mergeCell ref="K428:K431"/>
    <mergeCell ref="L428:L431"/>
    <mergeCell ref="B276:B287"/>
    <mergeCell ref="C288:C299"/>
    <mergeCell ref="H328:H331"/>
    <mergeCell ref="L420:L423"/>
    <mergeCell ref="G424:G427"/>
    <mergeCell ref="I424:I427"/>
    <mergeCell ref="J424:J427"/>
    <mergeCell ref="K424:K427"/>
    <mergeCell ref="L424:L427"/>
    <mergeCell ref="G404:G407"/>
    <mergeCell ref="H404:H407"/>
    <mergeCell ref="I420:I423"/>
    <mergeCell ref="J420:J423"/>
    <mergeCell ref="K420:K423"/>
    <mergeCell ref="K412:K415"/>
    <mergeCell ref="L412:L415"/>
    <mergeCell ref="D420:D431"/>
    <mergeCell ref="F420:F431"/>
    <mergeCell ref="G420:G423"/>
    <mergeCell ref="H420:H423"/>
    <mergeCell ref="D432:D443"/>
    <mergeCell ref="F432:F443"/>
    <mergeCell ref="G432:G435"/>
    <mergeCell ref="H432:H435"/>
    <mergeCell ref="H372:H375"/>
    <mergeCell ref="G344:G347"/>
    <mergeCell ref="H344:H347"/>
    <mergeCell ref="H424:H427"/>
    <mergeCell ref="D376:D383"/>
    <mergeCell ref="F376:F383"/>
    <mergeCell ref="G408:G411"/>
    <mergeCell ref="H408:H411"/>
    <mergeCell ref="G428:G431"/>
    <mergeCell ref="H428:H431"/>
    <mergeCell ref="G416:G419"/>
    <mergeCell ref="H416:H419"/>
    <mergeCell ref="G440:G443"/>
    <mergeCell ref="H440:H443"/>
    <mergeCell ref="H348:H351"/>
    <mergeCell ref="I440:I443"/>
    <mergeCell ref="J440:J443"/>
    <mergeCell ref="K440:K443"/>
    <mergeCell ref="L440:L443"/>
    <mergeCell ref="I432:I435"/>
    <mergeCell ref="J432:J435"/>
    <mergeCell ref="K432:K435"/>
    <mergeCell ref="L432:L435"/>
    <mergeCell ref="G436:G439"/>
    <mergeCell ref="H436:H439"/>
    <mergeCell ref="I436:I439"/>
    <mergeCell ref="J436:J439"/>
    <mergeCell ref="K436:K439"/>
    <mergeCell ref="L436:L439"/>
    <mergeCell ref="D464:D467"/>
    <mergeCell ref="F464:F467"/>
    <mergeCell ref="G464:G467"/>
    <mergeCell ref="H464:H467"/>
    <mergeCell ref="I464:I467"/>
    <mergeCell ref="K464:K467"/>
    <mergeCell ref="L464:L467"/>
    <mergeCell ref="J464:J467"/>
    <mergeCell ref="D460:D463"/>
    <mergeCell ref="F460:F463"/>
    <mergeCell ref="G460:G463"/>
    <mergeCell ref="H460:H463"/>
    <mergeCell ref="I460:I463"/>
    <mergeCell ref="J460:J463"/>
    <mergeCell ref="K460:K463"/>
    <mergeCell ref="L460:L463"/>
  </mergeCells>
  <phoneticPr fontId="26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64" fitToHeight="0" orientation="landscape" r:id="rId1"/>
  <headerFooter differentFirst="1" alignWithMargins="0">
    <oddHeader>&amp;C&amp;P</oddHeader>
  </headerFooter>
  <ignoredErrors>
    <ignoredError sqref="J18:J27 K18:L2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9"/>
  <sheetViews>
    <sheetView topLeftCell="A15" workbookViewId="0">
      <selection activeCell="H18" sqref="H18"/>
    </sheetView>
  </sheetViews>
  <sheetFormatPr defaultRowHeight="12.75" x14ac:dyDescent="0.2"/>
  <cols>
    <col min="1" max="1" width="45.5703125" customWidth="1"/>
    <col min="2" max="2" width="9.28515625" customWidth="1"/>
    <col min="3" max="3" width="12" customWidth="1"/>
    <col min="4" max="4" width="14.7109375" customWidth="1"/>
    <col min="5" max="5" width="11.28515625" customWidth="1"/>
    <col min="6" max="6" width="13.7109375" customWidth="1"/>
    <col min="7" max="7" width="11.7109375" bestFit="1" customWidth="1"/>
  </cols>
  <sheetData>
    <row r="1" spans="1:7" ht="15.75" x14ac:dyDescent="0.2">
      <c r="A1" s="38" t="s">
        <v>103</v>
      </c>
      <c r="B1" s="38"/>
      <c r="C1" s="44"/>
      <c r="D1" s="44"/>
      <c r="E1" s="44"/>
      <c r="F1" s="44"/>
    </row>
    <row r="2" spans="1:7" ht="15" x14ac:dyDescent="0.2">
      <c r="A2" s="45"/>
      <c r="B2" s="45"/>
      <c r="C2" s="45"/>
      <c r="D2" s="45"/>
      <c r="E2" s="45"/>
      <c r="F2" s="45"/>
    </row>
    <row r="3" spans="1:7" ht="45.75" customHeight="1" x14ac:dyDescent="0.2">
      <c r="A3" s="46" t="s">
        <v>94</v>
      </c>
      <c r="B3" s="918" t="s">
        <v>210</v>
      </c>
      <c r="C3" s="918"/>
      <c r="D3" s="918"/>
      <c r="E3" s="918"/>
      <c r="F3" s="918"/>
    </row>
    <row r="4" spans="1:7" ht="31.5" x14ac:dyDescent="0.2">
      <c r="A4" s="46" t="s">
        <v>95</v>
      </c>
      <c r="B4" s="918" t="s">
        <v>673</v>
      </c>
      <c r="C4" s="918"/>
      <c r="D4" s="918"/>
      <c r="E4" s="918"/>
      <c r="F4" s="918"/>
    </row>
    <row r="5" spans="1:7" ht="15.75" x14ac:dyDescent="0.2">
      <c r="A5" s="46" t="s">
        <v>96</v>
      </c>
      <c r="B5" s="918" t="s">
        <v>671</v>
      </c>
      <c r="C5" s="918"/>
      <c r="D5" s="918"/>
      <c r="E5" s="918"/>
      <c r="F5" s="918"/>
    </row>
    <row r="6" spans="1:7" ht="31.5" x14ac:dyDescent="0.2">
      <c r="A6" s="46" t="s">
        <v>97</v>
      </c>
      <c r="B6" s="918" t="s">
        <v>211</v>
      </c>
      <c r="C6" s="918"/>
      <c r="D6" s="918"/>
      <c r="E6" s="918"/>
      <c r="F6" s="918"/>
    </row>
    <row r="7" spans="1:7" ht="68.25" customHeight="1" x14ac:dyDescent="0.2">
      <c r="A7" s="46" t="s">
        <v>98</v>
      </c>
      <c r="B7" s="936" t="s">
        <v>672</v>
      </c>
      <c r="C7" s="936"/>
      <c r="D7" s="936"/>
      <c r="E7" s="936"/>
      <c r="F7" s="936"/>
    </row>
    <row r="8" spans="1:7" ht="65.25" customHeight="1" x14ac:dyDescent="0.2">
      <c r="A8" s="46" t="s">
        <v>99</v>
      </c>
      <c r="B8" s="936" t="s">
        <v>744</v>
      </c>
      <c r="C8" s="936"/>
      <c r="D8" s="936"/>
      <c r="E8" s="936"/>
      <c r="F8" s="936"/>
    </row>
    <row r="9" spans="1:7" ht="102" customHeight="1" x14ac:dyDescent="0.2">
      <c r="A9" s="46" t="s">
        <v>100</v>
      </c>
      <c r="B9" s="936" t="s">
        <v>248</v>
      </c>
      <c r="C9" s="936"/>
      <c r="D9" s="936"/>
      <c r="E9" s="936"/>
      <c r="F9" s="936"/>
    </row>
    <row r="10" spans="1:7" ht="38.25" customHeight="1" x14ac:dyDescent="0.2">
      <c r="A10" s="919" t="s">
        <v>101</v>
      </c>
      <c r="B10" s="922" t="s">
        <v>743</v>
      </c>
      <c r="C10" s="923"/>
      <c r="D10" s="923"/>
      <c r="E10" s="923"/>
      <c r="F10" s="924"/>
    </row>
    <row r="11" spans="1:7" ht="63.75" x14ac:dyDescent="0.2">
      <c r="A11" s="920"/>
      <c r="B11" s="2" t="s">
        <v>130</v>
      </c>
      <c r="C11" s="2" t="s">
        <v>134</v>
      </c>
      <c r="D11" s="2" t="s">
        <v>133</v>
      </c>
      <c r="E11" s="2" t="s">
        <v>135</v>
      </c>
      <c r="F11" s="2" t="s">
        <v>136</v>
      </c>
    </row>
    <row r="12" spans="1:7" ht="15.75" x14ac:dyDescent="0.2">
      <c r="A12" s="921"/>
      <c r="B12" s="25">
        <v>2021</v>
      </c>
      <c r="C12" s="110">
        <f>'2022 МП Приложение 4 Деньги'!E17</f>
        <v>31989.476999999999</v>
      </c>
      <c r="D12" s="110">
        <f>'2022 МП Приложение 4 Деньги'!E18</f>
        <v>623267.87000000011</v>
      </c>
      <c r="E12" s="43">
        <v>0</v>
      </c>
      <c r="F12" s="110">
        <f>'2022 МП Приложение 4 Деньги'!E16</f>
        <v>655257.34700000007</v>
      </c>
    </row>
    <row r="13" spans="1:7" ht="15.75" x14ac:dyDescent="0.2">
      <c r="A13" s="921"/>
      <c r="B13" s="25">
        <v>2022</v>
      </c>
      <c r="C13" s="110">
        <f>'2022 МП Приложение 4 Деньги'!F17</f>
        <v>4560</v>
      </c>
      <c r="D13" s="110">
        <f>'2022 МП Приложение 4 Деньги'!F18</f>
        <v>588274.00000000012</v>
      </c>
      <c r="E13" s="43">
        <v>0</v>
      </c>
      <c r="F13" s="110">
        <f>'2022 МП Приложение 4 Деньги'!F16</f>
        <v>592834.00000000012</v>
      </c>
    </row>
    <row r="14" spans="1:7" ht="15.75" x14ac:dyDescent="0.2">
      <c r="A14" s="921"/>
      <c r="B14" s="25">
        <v>2023</v>
      </c>
      <c r="C14" s="110">
        <f>'2022 МП Приложение 4 Деньги'!G17</f>
        <v>4560</v>
      </c>
      <c r="D14" s="110">
        <f>'2022 МП Приложение 4 Деньги'!G18</f>
        <v>474573.4</v>
      </c>
      <c r="E14" s="43">
        <v>0</v>
      </c>
      <c r="F14" s="110">
        <f>'2022 МП Приложение 4 Деньги'!G16</f>
        <v>479133.4</v>
      </c>
    </row>
    <row r="15" spans="1:7" ht="15.75" x14ac:dyDescent="0.2">
      <c r="A15" s="921"/>
      <c r="B15" s="25">
        <v>2024</v>
      </c>
      <c r="C15" s="110">
        <f>'2022 МП Приложение 4 Деньги'!P17</f>
        <v>4560</v>
      </c>
      <c r="D15" s="110">
        <f>'2022 МП Приложение 4 Деньги'!P18</f>
        <v>481408</v>
      </c>
      <c r="E15" s="43">
        <v>0</v>
      </c>
      <c r="F15" s="110">
        <f>'2022 МП Приложение 4 Деньги'!P16</f>
        <v>485968</v>
      </c>
    </row>
    <row r="16" spans="1:7" ht="15.75" x14ac:dyDescent="0.2">
      <c r="A16" s="921"/>
      <c r="B16" s="25" t="s">
        <v>131</v>
      </c>
      <c r="C16" s="110">
        <f>SUM(C12:C15)</f>
        <v>45669.476999999999</v>
      </c>
      <c r="D16" s="110">
        <f>SUM(D12:D15)</f>
        <v>2167523.27</v>
      </c>
      <c r="E16" s="43">
        <f>SUM(E12:E15)</f>
        <v>0</v>
      </c>
      <c r="F16" s="110">
        <f>SUM(F12:F15)</f>
        <v>2213192.747</v>
      </c>
      <c r="G16" s="47"/>
    </row>
    <row r="17" spans="1:6" ht="54.75" customHeight="1" thickBot="1" x14ac:dyDescent="0.25">
      <c r="A17" s="921"/>
      <c r="B17" s="943" t="s">
        <v>229</v>
      </c>
      <c r="C17" s="943"/>
      <c r="D17" s="943"/>
      <c r="E17" s="943"/>
      <c r="F17" s="943"/>
    </row>
    <row r="18" spans="1:6" ht="409.5" customHeight="1" x14ac:dyDescent="0.2">
      <c r="A18" s="937" t="s">
        <v>102</v>
      </c>
      <c r="B18" s="939" t="s">
        <v>888</v>
      </c>
      <c r="C18" s="939"/>
      <c r="D18" s="939"/>
      <c r="E18" s="939"/>
      <c r="F18" s="940"/>
    </row>
    <row r="19" spans="1:6" ht="137.25" customHeight="1" x14ac:dyDescent="0.2">
      <c r="A19" s="938"/>
      <c r="B19" s="941"/>
      <c r="C19" s="941"/>
      <c r="D19" s="941"/>
      <c r="E19" s="941"/>
      <c r="F19" s="942"/>
    </row>
  </sheetData>
  <mergeCells count="12">
    <mergeCell ref="A18:A19"/>
    <mergeCell ref="B18:F19"/>
    <mergeCell ref="A10:A17"/>
    <mergeCell ref="B10:F10"/>
    <mergeCell ref="B17:F17"/>
    <mergeCell ref="B8:F8"/>
    <mergeCell ref="B9:F9"/>
    <mergeCell ref="B3:F3"/>
    <mergeCell ref="B4:F4"/>
    <mergeCell ref="B5:F5"/>
    <mergeCell ref="B6:F6"/>
    <mergeCell ref="B7:F7"/>
  </mergeCells>
  <pageMargins left="1.1811023622047245" right="0.59055118110236227" top="0.78740157480314965" bottom="0.78740157480314965" header="0.31496062992125984" footer="0.31496062992125984"/>
  <pageSetup paperSize="9" scale="64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 tint="0.39997558519241921"/>
    <pageSetUpPr fitToPage="1"/>
  </sheetPr>
  <dimension ref="A1:AE398"/>
  <sheetViews>
    <sheetView showWhiteSpace="0" zoomScale="90" zoomScaleNormal="90" workbookViewId="0">
      <pane ySplit="13" topLeftCell="A14" activePane="bottomLeft" state="frozen"/>
      <selection pane="bottomLeft" activeCell="Z19" sqref="Z19"/>
    </sheetView>
  </sheetViews>
  <sheetFormatPr defaultColWidth="8.85546875" defaultRowHeight="15.75" x14ac:dyDescent="0.25"/>
  <cols>
    <col min="1" max="1" width="2.140625" style="37" customWidth="1"/>
    <col min="2" max="2" width="13.7109375" style="37" customWidth="1"/>
    <col min="3" max="3" width="12.85546875" style="48" customWidth="1"/>
    <col min="4" max="4" width="10.28515625" style="48" customWidth="1"/>
    <col min="5" max="5" width="10.7109375" style="48" hidden="1" customWidth="1"/>
    <col min="6" max="6" width="12.42578125" style="48" customWidth="1"/>
    <col min="7" max="7" width="35" style="802" customWidth="1"/>
    <col min="8" max="8" width="21.5703125" style="798" customWidth="1"/>
    <col min="9" max="9" width="7.42578125" style="48" customWidth="1"/>
    <col min="10" max="10" width="13.5703125" style="48" customWidth="1"/>
    <col min="11" max="11" width="10.85546875" style="48" customWidth="1"/>
    <col min="12" max="12" width="10.28515625" style="48" customWidth="1"/>
    <col min="13" max="13" width="10.85546875" style="707" customWidth="1"/>
    <col min="14" max="14" width="11.42578125" style="707" customWidth="1"/>
    <col min="15" max="15" width="11.140625" style="707" customWidth="1"/>
    <col min="16" max="16" width="9.85546875" style="37" hidden="1" customWidth="1"/>
    <col min="17" max="17" width="20.5703125" style="37" hidden="1" customWidth="1"/>
    <col min="18" max="18" width="0" style="37" hidden="1" customWidth="1"/>
    <col min="19" max="19" width="36.28515625" style="37" hidden="1" customWidth="1"/>
    <col min="20" max="20" width="27.7109375" style="37" hidden="1" customWidth="1"/>
    <col min="21" max="21" width="18.7109375" style="37" hidden="1" customWidth="1"/>
    <col min="22" max="22" width="16.85546875" style="37" hidden="1" customWidth="1"/>
    <col min="23" max="23" width="20.85546875" style="37" hidden="1" customWidth="1"/>
    <col min="24" max="24" width="15" style="37" hidden="1" customWidth="1"/>
    <col min="25" max="25" width="10.7109375" style="37" customWidth="1"/>
    <col min="26" max="26" width="9.85546875" style="37" customWidth="1"/>
    <col min="27" max="27" width="10.28515625" style="37" customWidth="1"/>
    <col min="28" max="28" width="13.140625" style="37" bestFit="1" customWidth="1"/>
    <col min="29" max="29" width="8.85546875" style="37"/>
    <col min="30" max="30" width="14.28515625" style="37" bestFit="1" customWidth="1"/>
    <col min="31" max="16384" width="8.85546875" style="37"/>
  </cols>
  <sheetData>
    <row r="1" spans="2:29" x14ac:dyDescent="0.25">
      <c r="J1" s="787" t="s">
        <v>1235</v>
      </c>
    </row>
    <row r="2" spans="2:29" x14ac:dyDescent="0.25">
      <c r="J2" s="787" t="s">
        <v>1074</v>
      </c>
    </row>
    <row r="3" spans="2:29" x14ac:dyDescent="0.25">
      <c r="J3" s="787" t="s">
        <v>499</v>
      </c>
    </row>
    <row r="4" spans="2:29" x14ac:dyDescent="0.25">
      <c r="J4" s="787" t="s">
        <v>500</v>
      </c>
    </row>
    <row r="5" spans="2:29" x14ac:dyDescent="0.25">
      <c r="J5" s="787" t="s">
        <v>1188</v>
      </c>
    </row>
    <row r="6" spans="2:29" x14ac:dyDescent="0.25">
      <c r="J6" s="787" t="s">
        <v>502</v>
      </c>
    </row>
    <row r="7" spans="2:29" ht="18.75" x14ac:dyDescent="0.25">
      <c r="C7" s="651"/>
      <c r="D7" s="80"/>
      <c r="E7" s="80"/>
      <c r="F7" s="80"/>
      <c r="G7" s="92"/>
      <c r="H7" s="80"/>
      <c r="I7" s="80"/>
      <c r="J7" s="80"/>
      <c r="K7" s="80"/>
      <c r="L7" s="80"/>
      <c r="M7" s="788"/>
      <c r="N7" s="788"/>
    </row>
    <row r="8" spans="2:29" ht="18.75" customHeight="1" x14ac:dyDescent="0.3">
      <c r="B8" s="1389" t="s">
        <v>1121</v>
      </c>
      <c r="C8" s="1389"/>
      <c r="D8" s="1389"/>
      <c r="E8" s="1389"/>
      <c r="F8" s="1389"/>
      <c r="G8" s="1389"/>
      <c r="H8" s="1389"/>
      <c r="I8" s="1389"/>
      <c r="J8" s="1389"/>
      <c r="K8" s="1389"/>
      <c r="L8" s="1389"/>
      <c r="M8" s="1389"/>
      <c r="N8" s="1389"/>
      <c r="O8" s="1389"/>
    </row>
    <row r="9" spans="2:29" ht="42.75" customHeight="1" x14ac:dyDescent="0.25">
      <c r="B9" s="1203" t="s">
        <v>1212</v>
      </c>
      <c r="C9" s="1203"/>
      <c r="D9" s="1203"/>
      <c r="E9" s="1203"/>
      <c r="F9" s="1203"/>
      <c r="G9" s="1203"/>
      <c r="H9" s="1203"/>
      <c r="I9" s="1203"/>
      <c r="J9" s="1203"/>
      <c r="K9" s="1203"/>
      <c r="L9" s="1203"/>
      <c r="M9" s="1203"/>
      <c r="N9" s="1203"/>
      <c r="O9" s="1203"/>
    </row>
    <row r="11" spans="2:29" ht="37.5" customHeight="1" x14ac:dyDescent="0.25">
      <c r="B11" s="1364" t="s">
        <v>1118</v>
      </c>
      <c r="C11" s="1364" t="s">
        <v>1119</v>
      </c>
      <c r="D11" s="1364" t="s">
        <v>4</v>
      </c>
      <c r="E11" s="840" t="s">
        <v>50</v>
      </c>
      <c r="F11" s="1364" t="s">
        <v>1120</v>
      </c>
      <c r="G11" s="1364" t="s">
        <v>1162</v>
      </c>
      <c r="H11" s="1364" t="s">
        <v>1161</v>
      </c>
      <c r="I11" s="1364"/>
      <c r="J11" s="1364"/>
      <c r="K11" s="1364"/>
      <c r="L11" s="1364"/>
      <c r="M11" s="1364" t="s">
        <v>1165</v>
      </c>
      <c r="N11" s="1364"/>
      <c r="O11" s="1364"/>
      <c r="P11" s="803"/>
      <c r="Q11" s="803"/>
    </row>
    <row r="12" spans="2:29" ht="15.75" customHeight="1" x14ac:dyDescent="0.25">
      <c r="B12" s="1364"/>
      <c r="C12" s="1364"/>
      <c r="D12" s="1364"/>
      <c r="E12" s="840"/>
      <c r="F12" s="1364"/>
      <c r="G12" s="1364"/>
      <c r="H12" s="1364" t="s">
        <v>18</v>
      </c>
      <c r="I12" s="1364" t="s">
        <v>148</v>
      </c>
      <c r="J12" s="1364" t="s">
        <v>150</v>
      </c>
      <c r="K12" s="1364"/>
      <c r="L12" s="1364"/>
      <c r="M12" s="1364" t="s">
        <v>1091</v>
      </c>
      <c r="N12" s="1364" t="s">
        <v>1092</v>
      </c>
      <c r="O12" s="1364" t="s">
        <v>1117</v>
      </c>
      <c r="P12" s="803"/>
      <c r="Q12" s="803"/>
    </row>
    <row r="13" spans="2:29" ht="15.75" customHeight="1" x14ac:dyDescent="0.25">
      <c r="B13" s="1364"/>
      <c r="C13" s="1364"/>
      <c r="D13" s="1364"/>
      <c r="E13" s="840"/>
      <c r="F13" s="1364"/>
      <c r="G13" s="1364"/>
      <c r="H13" s="1364"/>
      <c r="I13" s="1364"/>
      <c r="J13" s="832" t="s">
        <v>1091</v>
      </c>
      <c r="K13" s="841" t="s">
        <v>1092</v>
      </c>
      <c r="L13" s="841" t="s">
        <v>1117</v>
      </c>
      <c r="M13" s="1364"/>
      <c r="N13" s="1364"/>
      <c r="O13" s="1364"/>
      <c r="P13" s="803"/>
      <c r="Q13" s="803"/>
    </row>
    <row r="14" spans="2:29" ht="17.25" customHeight="1" x14ac:dyDescent="0.25">
      <c r="B14" s="806">
        <v>1</v>
      </c>
      <c r="C14" s="808">
        <v>2</v>
      </c>
      <c r="D14" s="808">
        <v>3</v>
      </c>
      <c r="E14" s="808">
        <v>4</v>
      </c>
      <c r="F14" s="808">
        <v>4</v>
      </c>
      <c r="G14" s="808">
        <v>5</v>
      </c>
      <c r="H14" s="808">
        <v>6</v>
      </c>
      <c r="I14" s="808">
        <v>7</v>
      </c>
      <c r="J14" s="808">
        <v>8</v>
      </c>
      <c r="K14" s="808">
        <v>10</v>
      </c>
      <c r="L14" s="808">
        <v>11</v>
      </c>
      <c r="M14" s="808">
        <v>13</v>
      </c>
      <c r="N14" s="808">
        <v>14</v>
      </c>
      <c r="O14" s="808">
        <v>15</v>
      </c>
      <c r="P14" s="803"/>
      <c r="Q14" s="803"/>
      <c r="Y14" s="803"/>
      <c r="Z14" s="803"/>
      <c r="AA14" s="803"/>
      <c r="AB14" s="804"/>
      <c r="AC14" s="803"/>
    </row>
    <row r="15" spans="2:29" ht="16.5" customHeight="1" x14ac:dyDescent="0.25">
      <c r="B15" s="1405" t="s">
        <v>1163</v>
      </c>
      <c r="C15" s="1406"/>
      <c r="D15" s="1406"/>
      <c r="E15" s="1406"/>
      <c r="F15" s="1406"/>
      <c r="G15" s="1406"/>
      <c r="H15" s="1406"/>
      <c r="I15" s="1406"/>
      <c r="J15" s="1406"/>
      <c r="K15" s="1406"/>
      <c r="L15" s="1407"/>
      <c r="M15" s="833">
        <f>M16</f>
        <v>51920.31</v>
      </c>
      <c r="N15" s="833">
        <f>N16</f>
        <v>0</v>
      </c>
      <c r="O15" s="833">
        <f>O16</f>
        <v>0</v>
      </c>
      <c r="P15" s="833">
        <f t="shared" ref="P15:X15" si="0">P17</f>
        <v>0</v>
      </c>
      <c r="Q15" s="833">
        <f t="shared" si="0"/>
        <v>0</v>
      </c>
      <c r="R15" s="833">
        <f t="shared" si="0"/>
        <v>0</v>
      </c>
      <c r="S15" s="833">
        <f t="shared" si="0"/>
        <v>0</v>
      </c>
      <c r="T15" s="833">
        <f t="shared" si="0"/>
        <v>0</v>
      </c>
      <c r="U15" s="833">
        <f t="shared" si="0"/>
        <v>0</v>
      </c>
      <c r="V15" s="833">
        <f t="shared" si="0"/>
        <v>0</v>
      </c>
      <c r="W15" s="833">
        <f t="shared" si="0"/>
        <v>0</v>
      </c>
      <c r="X15" s="833">
        <f t="shared" si="0"/>
        <v>0</v>
      </c>
      <c r="Y15" s="847"/>
      <c r="Z15" s="811"/>
      <c r="AA15" s="811"/>
      <c r="AB15" s="810"/>
      <c r="AC15" s="805"/>
    </row>
    <row r="16" spans="2:29" ht="16.5" customHeight="1" x14ac:dyDescent="0.25">
      <c r="B16" s="1411" t="s">
        <v>374</v>
      </c>
      <c r="C16" s="1411" t="s">
        <v>173</v>
      </c>
      <c r="D16" s="1410" t="s">
        <v>116</v>
      </c>
      <c r="E16" s="832"/>
      <c r="F16" s="1410" t="s">
        <v>116</v>
      </c>
      <c r="G16" s="1409" t="s">
        <v>1211</v>
      </c>
      <c r="H16" s="1384" t="s">
        <v>1312</v>
      </c>
      <c r="I16" s="1382" t="s">
        <v>240</v>
      </c>
      <c r="J16" s="1382">
        <v>1</v>
      </c>
      <c r="K16" s="1382">
        <v>0</v>
      </c>
      <c r="L16" s="1382">
        <v>0</v>
      </c>
      <c r="M16" s="1408">
        <f>M19+M18</f>
        <v>51920.31</v>
      </c>
      <c r="N16" s="1408">
        <f>N19+N18</f>
        <v>0</v>
      </c>
      <c r="O16" s="1408">
        <f>O19+O18</f>
        <v>0</v>
      </c>
      <c r="P16" s="833"/>
      <c r="Q16" s="833"/>
      <c r="R16" s="833"/>
      <c r="S16" s="833"/>
      <c r="T16" s="833"/>
      <c r="U16" s="833"/>
      <c r="V16" s="833"/>
      <c r="W16" s="833"/>
      <c r="X16" s="833"/>
      <c r="Y16" s="847"/>
      <c r="Z16" s="811"/>
      <c r="AA16" s="811"/>
      <c r="AB16" s="810"/>
      <c r="AC16" s="805"/>
    </row>
    <row r="17" spans="2:31" ht="54.75" customHeight="1" x14ac:dyDescent="0.25">
      <c r="B17" s="1411"/>
      <c r="C17" s="1411"/>
      <c r="D17" s="1410"/>
      <c r="E17" s="837">
        <v>27300364</v>
      </c>
      <c r="F17" s="1410"/>
      <c r="G17" s="1409"/>
      <c r="H17" s="1385"/>
      <c r="I17" s="1383"/>
      <c r="J17" s="1383"/>
      <c r="K17" s="1383"/>
      <c r="L17" s="1383"/>
      <c r="M17" s="1408"/>
      <c r="N17" s="1408"/>
      <c r="O17" s="1408"/>
      <c r="P17" s="839">
        <f t="shared" ref="P17:X17" si="1">P19</f>
        <v>0</v>
      </c>
      <c r="Q17" s="839">
        <f t="shared" si="1"/>
        <v>0</v>
      </c>
      <c r="R17" s="839">
        <f t="shared" si="1"/>
        <v>0</v>
      </c>
      <c r="S17" s="839">
        <f t="shared" si="1"/>
        <v>0</v>
      </c>
      <c r="T17" s="839">
        <f t="shared" si="1"/>
        <v>0</v>
      </c>
      <c r="U17" s="839">
        <f t="shared" si="1"/>
        <v>0</v>
      </c>
      <c r="V17" s="839">
        <f t="shared" si="1"/>
        <v>0</v>
      </c>
      <c r="W17" s="839">
        <f t="shared" si="1"/>
        <v>0</v>
      </c>
      <c r="X17" s="839">
        <f t="shared" si="1"/>
        <v>0</v>
      </c>
      <c r="Y17" s="848"/>
      <c r="Z17" s="815"/>
      <c r="AA17" s="815"/>
      <c r="AB17" s="803"/>
      <c r="AC17" s="803"/>
    </row>
    <row r="18" spans="2:31" ht="27" customHeight="1" x14ac:dyDescent="0.25">
      <c r="B18" s="876" t="s">
        <v>374</v>
      </c>
      <c r="C18" s="876" t="s">
        <v>173</v>
      </c>
      <c r="D18" s="821">
        <v>67721</v>
      </c>
      <c r="E18" s="832"/>
      <c r="F18" s="821" t="s">
        <v>192</v>
      </c>
      <c r="G18" s="878" t="s">
        <v>1055</v>
      </c>
      <c r="H18" s="605" t="s">
        <v>1265</v>
      </c>
      <c r="I18" s="821" t="s">
        <v>241</v>
      </c>
      <c r="J18" s="821">
        <v>5600</v>
      </c>
      <c r="K18" s="877">
        <v>0</v>
      </c>
      <c r="L18" s="877">
        <v>0</v>
      </c>
      <c r="M18" s="834">
        <v>22814.48</v>
      </c>
      <c r="N18" s="834">
        <v>0</v>
      </c>
      <c r="O18" s="834">
        <v>0</v>
      </c>
      <c r="P18" s="839"/>
      <c r="Q18" s="839"/>
      <c r="R18" s="839"/>
      <c r="S18" s="839"/>
      <c r="T18" s="839"/>
      <c r="U18" s="839"/>
      <c r="V18" s="839"/>
      <c r="W18" s="839"/>
      <c r="X18" s="839"/>
      <c r="Y18" s="848"/>
      <c r="Z18" s="815"/>
      <c r="AA18" s="815"/>
      <c r="AB18" s="803"/>
      <c r="AC18" s="803"/>
    </row>
    <row r="19" spans="2:31" ht="66.75" customHeight="1" x14ac:dyDescent="0.25">
      <c r="B19" s="823" t="s">
        <v>374</v>
      </c>
      <c r="C19" s="607" t="s">
        <v>173</v>
      </c>
      <c r="D19" s="605">
        <v>67712</v>
      </c>
      <c r="E19" s="605">
        <v>27300364</v>
      </c>
      <c r="F19" s="605" t="s">
        <v>192</v>
      </c>
      <c r="G19" s="879" t="s">
        <v>1148</v>
      </c>
      <c r="H19" s="605" t="s">
        <v>1243</v>
      </c>
      <c r="I19" s="605" t="s">
        <v>240</v>
      </c>
      <c r="J19" s="605">
        <v>1</v>
      </c>
      <c r="K19" s="605">
        <v>0</v>
      </c>
      <c r="L19" s="605">
        <v>0</v>
      </c>
      <c r="M19" s="834">
        <v>29105.83</v>
      </c>
      <c r="N19" s="834">
        <v>0</v>
      </c>
      <c r="O19" s="834">
        <v>0</v>
      </c>
      <c r="P19" s="834">
        <v>0</v>
      </c>
      <c r="Q19" s="834">
        <v>0</v>
      </c>
      <c r="R19" s="834">
        <v>0</v>
      </c>
      <c r="S19" s="834">
        <v>0</v>
      </c>
      <c r="T19" s="834">
        <v>0</v>
      </c>
      <c r="U19" s="834">
        <v>0</v>
      </c>
      <c r="V19" s="834">
        <v>0</v>
      </c>
      <c r="W19" s="834">
        <v>0</v>
      </c>
      <c r="X19" s="834">
        <v>0</v>
      </c>
      <c r="Y19" s="673"/>
      <c r="Z19" s="684"/>
      <c r="AA19" s="690"/>
      <c r="AB19" s="690"/>
      <c r="AC19" s="690"/>
      <c r="AD19" s="690"/>
      <c r="AE19" s="803"/>
    </row>
    <row r="20" spans="2:31" s="48" customFormat="1" ht="14.25" customHeight="1" x14ac:dyDescent="0.25">
      <c r="B20" s="1300"/>
      <c r="C20" s="1300"/>
      <c r="D20" s="1230"/>
      <c r="E20" s="673"/>
      <c r="F20" s="1230"/>
      <c r="G20" s="1197"/>
      <c r="H20" s="1230"/>
      <c r="I20" s="1230"/>
      <c r="J20" s="1230"/>
      <c r="K20" s="1230"/>
      <c r="L20" s="1230"/>
      <c r="M20" s="690"/>
      <c r="N20" s="690"/>
      <c r="O20" s="690"/>
      <c r="P20" s="690"/>
      <c r="Q20" s="631"/>
      <c r="Y20" s="817"/>
      <c r="Z20" s="817"/>
      <c r="AA20" s="817"/>
      <c r="AB20" s="631"/>
      <c r="AC20" s="631"/>
    </row>
    <row r="21" spans="2:31" s="48" customFormat="1" ht="12" customHeight="1" x14ac:dyDescent="0.25">
      <c r="B21" s="1300"/>
      <c r="C21" s="1300"/>
      <c r="D21" s="1230"/>
      <c r="E21" s="673"/>
      <c r="F21" s="1230"/>
      <c r="G21" s="1197"/>
      <c r="H21" s="1230"/>
      <c r="I21" s="1230"/>
      <c r="J21" s="1230"/>
      <c r="K21" s="1230"/>
      <c r="L21" s="1230"/>
      <c r="M21" s="690"/>
      <c r="N21" s="690"/>
      <c r="O21" s="690"/>
      <c r="P21" s="690"/>
      <c r="Q21" s="631"/>
      <c r="Y21" s="631"/>
      <c r="Z21" s="631"/>
      <c r="AA21" s="631"/>
      <c r="AB21" s="631"/>
      <c r="AC21" s="631"/>
    </row>
    <row r="22" spans="2:31" s="48" customFormat="1" ht="12" customHeight="1" x14ac:dyDescent="0.25">
      <c r="B22" s="1300"/>
      <c r="C22" s="1300"/>
      <c r="D22" s="1230"/>
      <c r="E22" s="673"/>
      <c r="F22" s="1230"/>
      <c r="G22" s="1197"/>
      <c r="H22" s="1230"/>
      <c r="I22" s="1230"/>
      <c r="J22" s="1230"/>
      <c r="K22" s="1230"/>
      <c r="L22" s="1230"/>
      <c r="M22" s="690"/>
      <c r="N22" s="690"/>
      <c r="O22" s="690"/>
      <c r="P22" s="690"/>
      <c r="Q22" s="631"/>
      <c r="Y22" s="631"/>
      <c r="Z22" s="631"/>
      <c r="AA22" s="631"/>
      <c r="AB22" s="631"/>
      <c r="AC22" s="631"/>
    </row>
    <row r="23" spans="2:31" s="48" customFormat="1" ht="12" customHeight="1" x14ac:dyDescent="0.25">
      <c r="B23" s="1300"/>
      <c r="C23" s="1300"/>
      <c r="D23" s="1230"/>
      <c r="E23" s="673"/>
      <c r="F23" s="1230"/>
      <c r="G23" s="1197"/>
      <c r="H23" s="1230"/>
      <c r="I23" s="1230"/>
      <c r="J23" s="1230"/>
      <c r="K23" s="1230"/>
      <c r="L23" s="1230"/>
      <c r="M23" s="690"/>
      <c r="N23" s="690"/>
      <c r="O23" s="690"/>
      <c r="P23" s="690"/>
      <c r="Q23" s="631"/>
      <c r="Y23" s="631"/>
      <c r="Z23" s="631"/>
      <c r="AA23" s="631"/>
      <c r="AB23" s="631"/>
      <c r="AC23" s="631"/>
    </row>
    <row r="24" spans="2:31" s="48" customFormat="1" ht="12" customHeight="1" x14ac:dyDescent="0.25">
      <c r="B24" s="1362" t="s">
        <v>1279</v>
      </c>
      <c r="C24" s="1362"/>
      <c r="D24" s="1362"/>
      <c r="E24" s="1362"/>
      <c r="F24" s="1362"/>
      <c r="G24" s="1362"/>
      <c r="H24" s="1362"/>
      <c r="I24" s="1230"/>
      <c r="J24" s="1230"/>
      <c r="K24" s="1230"/>
      <c r="L24" s="1230"/>
      <c r="M24" s="690"/>
      <c r="N24" s="690"/>
      <c r="O24" s="690"/>
      <c r="P24" s="690"/>
      <c r="Q24" s="631"/>
      <c r="Y24" s="631"/>
      <c r="Z24" s="631"/>
      <c r="AA24" s="631"/>
      <c r="AB24" s="631"/>
      <c r="AC24" s="631"/>
    </row>
    <row r="25" spans="2:31" s="48" customFormat="1" ht="12" customHeight="1" x14ac:dyDescent="0.25">
      <c r="B25" s="37"/>
      <c r="E25" s="802"/>
      <c r="F25" s="891"/>
      <c r="G25" s="800"/>
      <c r="H25" s="673"/>
      <c r="I25" s="1230"/>
      <c r="J25" s="1230"/>
      <c r="K25" s="1230"/>
      <c r="L25" s="1230"/>
      <c r="M25" s="690"/>
      <c r="N25" s="690"/>
      <c r="O25" s="690"/>
      <c r="P25" s="690"/>
      <c r="Q25" s="631"/>
      <c r="Y25" s="631"/>
      <c r="Z25" s="631"/>
      <c r="AA25" s="631"/>
      <c r="AB25" s="631"/>
      <c r="AC25" s="631"/>
    </row>
    <row r="26" spans="2:31" s="48" customFormat="1" ht="12" customHeight="1" x14ac:dyDescent="0.25">
      <c r="B26" s="890" t="s">
        <v>748</v>
      </c>
      <c r="C26" s="1363" t="s">
        <v>1277</v>
      </c>
      <c r="D26" s="1363"/>
      <c r="E26" s="1363"/>
      <c r="F26" s="1363"/>
      <c r="G26" s="800"/>
      <c r="H26" s="673"/>
      <c r="I26" s="1230"/>
      <c r="J26" s="1230"/>
      <c r="K26" s="1230"/>
      <c r="L26" s="1230"/>
      <c r="M26" s="690"/>
      <c r="N26" s="690"/>
      <c r="O26" s="690"/>
      <c r="P26" s="690"/>
      <c r="Q26" s="631"/>
      <c r="Y26" s="631"/>
      <c r="Z26" s="631"/>
      <c r="AA26" s="631"/>
      <c r="AB26" s="631"/>
      <c r="AC26" s="631"/>
    </row>
    <row r="27" spans="2:31" s="48" customFormat="1" ht="12" customHeight="1" x14ac:dyDescent="0.25">
      <c r="B27" s="890"/>
      <c r="C27" s="1363" t="s">
        <v>1278</v>
      </c>
      <c r="D27" s="1363"/>
      <c r="E27" s="802"/>
      <c r="F27" s="891"/>
      <c r="G27" s="800"/>
      <c r="H27" s="673"/>
      <c r="I27" s="1230"/>
      <c r="J27" s="1230"/>
      <c r="K27" s="1230"/>
      <c r="L27" s="1230"/>
      <c r="M27" s="690"/>
      <c r="N27" s="690"/>
      <c r="O27" s="690"/>
      <c r="P27" s="690"/>
      <c r="Q27" s="631"/>
      <c r="Y27" s="631"/>
      <c r="Z27" s="631"/>
      <c r="AA27" s="631"/>
      <c r="AB27" s="631"/>
      <c r="AC27" s="631"/>
    </row>
    <row r="28" spans="2:31" s="48" customFormat="1" ht="12" customHeight="1" x14ac:dyDescent="0.25">
      <c r="B28" s="1300"/>
      <c r="C28" s="1300"/>
      <c r="D28" s="1243"/>
      <c r="E28" s="1230"/>
      <c r="F28" s="1243"/>
      <c r="G28" s="1387"/>
      <c r="H28" s="1197"/>
      <c r="I28" s="1243"/>
      <c r="J28" s="1300"/>
      <c r="K28" s="1300"/>
      <c r="L28" s="1300"/>
      <c r="M28" s="816"/>
      <c r="N28" s="690"/>
      <c r="O28" s="690"/>
      <c r="P28" s="690"/>
      <c r="Q28" s="631"/>
      <c r="Y28" s="631"/>
      <c r="Z28" s="631"/>
      <c r="AA28" s="631"/>
      <c r="AB28" s="631"/>
      <c r="AC28" s="631"/>
    </row>
    <row r="29" spans="2:31" s="48" customFormat="1" ht="12" customHeight="1" x14ac:dyDescent="0.25">
      <c r="B29" s="1300"/>
      <c r="C29" s="1300"/>
      <c r="D29" s="1243"/>
      <c r="E29" s="1230"/>
      <c r="F29" s="1243"/>
      <c r="G29" s="1387"/>
      <c r="H29" s="1197"/>
      <c r="I29" s="1243"/>
      <c r="J29" s="1300"/>
      <c r="K29" s="1230"/>
      <c r="L29" s="1230"/>
      <c r="M29" s="690"/>
      <c r="N29" s="690"/>
      <c r="O29" s="690"/>
      <c r="P29" s="690"/>
      <c r="Q29" s="631"/>
      <c r="Y29" s="631"/>
      <c r="Z29" s="631"/>
      <c r="AA29" s="631"/>
      <c r="AB29" s="631"/>
      <c r="AC29" s="631"/>
    </row>
    <row r="30" spans="2:31" s="48" customFormat="1" ht="12" customHeight="1" x14ac:dyDescent="0.25">
      <c r="B30" s="1300"/>
      <c r="C30" s="1300"/>
      <c r="D30" s="1243"/>
      <c r="E30" s="1230"/>
      <c r="F30" s="1243"/>
      <c r="G30" s="1387"/>
      <c r="H30" s="1197"/>
      <c r="I30" s="1243"/>
      <c r="J30" s="1300"/>
      <c r="K30" s="1230"/>
      <c r="L30" s="1230"/>
      <c r="M30" s="816"/>
      <c r="N30" s="690"/>
      <c r="O30" s="690"/>
      <c r="P30" s="690"/>
      <c r="Q30" s="631"/>
      <c r="Y30" s="631"/>
      <c r="Z30" s="631"/>
      <c r="AA30" s="631"/>
      <c r="AB30" s="631"/>
      <c r="AC30" s="631"/>
    </row>
    <row r="31" spans="2:31" s="48" customFormat="1" ht="12" customHeight="1" x14ac:dyDescent="0.25">
      <c r="B31" s="1300"/>
      <c r="C31" s="1300"/>
      <c r="D31" s="1243"/>
      <c r="E31" s="673"/>
      <c r="F31" s="1243"/>
      <c r="G31" s="1387"/>
      <c r="H31" s="1197"/>
      <c r="I31" s="1243"/>
      <c r="J31" s="1300"/>
      <c r="K31" s="1230"/>
      <c r="L31" s="1230"/>
      <c r="M31" s="690"/>
      <c r="N31" s="690"/>
      <c r="O31" s="690"/>
      <c r="P31" s="690"/>
      <c r="Q31" s="631"/>
      <c r="Y31" s="631"/>
      <c r="Z31" s="631"/>
      <c r="AA31" s="631"/>
      <c r="AB31" s="631"/>
      <c r="AC31" s="631"/>
    </row>
    <row r="32" spans="2:31" s="48" customFormat="1" ht="12" customHeight="1" x14ac:dyDescent="0.25">
      <c r="B32" s="1300"/>
      <c r="C32" s="1300"/>
      <c r="D32" s="1243"/>
      <c r="E32" s="673"/>
      <c r="F32" s="1230"/>
      <c r="G32" s="1197"/>
      <c r="H32" s="1197"/>
      <c r="I32" s="1243"/>
      <c r="J32" s="1230"/>
      <c r="K32" s="1230"/>
      <c r="L32" s="1230"/>
      <c r="M32" s="690"/>
      <c r="N32" s="690"/>
      <c r="O32" s="690"/>
      <c r="P32" s="690"/>
      <c r="Q32" s="631"/>
      <c r="Y32" s="631"/>
      <c r="Z32" s="631"/>
      <c r="AA32" s="631"/>
      <c r="AB32" s="631"/>
      <c r="AC32" s="631"/>
    </row>
    <row r="33" spans="1:29" s="48" customFormat="1" ht="12" customHeight="1" x14ac:dyDescent="0.25">
      <c r="B33" s="1300"/>
      <c r="C33" s="1300"/>
      <c r="D33" s="1243"/>
      <c r="E33" s="673"/>
      <c r="F33" s="1230"/>
      <c r="G33" s="1197"/>
      <c r="H33" s="1197"/>
      <c r="I33" s="1243"/>
      <c r="J33" s="1230"/>
      <c r="K33" s="1230"/>
      <c r="L33" s="1230"/>
      <c r="M33" s="690"/>
      <c r="N33" s="690"/>
      <c r="O33" s="690"/>
      <c r="P33" s="690"/>
      <c r="Q33" s="631"/>
      <c r="Y33" s="631"/>
      <c r="Z33" s="631"/>
      <c r="AA33" s="631"/>
      <c r="AB33" s="631"/>
      <c r="AC33" s="631"/>
    </row>
    <row r="34" spans="1:29" s="48" customFormat="1" ht="12" customHeight="1" x14ac:dyDescent="0.25">
      <c r="B34" s="1300"/>
      <c r="C34" s="1300"/>
      <c r="D34" s="1243"/>
      <c r="E34" s="673"/>
      <c r="F34" s="1230"/>
      <c r="G34" s="1197"/>
      <c r="H34" s="1197"/>
      <c r="I34" s="1243"/>
      <c r="J34" s="1230"/>
      <c r="K34" s="1230"/>
      <c r="L34" s="1230"/>
      <c r="M34" s="690"/>
      <c r="N34" s="690"/>
      <c r="O34" s="690"/>
      <c r="P34" s="690"/>
      <c r="Q34" s="631"/>
      <c r="Y34" s="631"/>
      <c r="Z34" s="631"/>
      <c r="AA34" s="631"/>
      <c r="AB34" s="631"/>
      <c r="AC34" s="631"/>
    </row>
    <row r="35" spans="1:29" s="48" customFormat="1" ht="12" customHeight="1" x14ac:dyDescent="0.25">
      <c r="B35" s="1300"/>
      <c r="C35" s="1300"/>
      <c r="D35" s="1243"/>
      <c r="E35" s="673"/>
      <c r="F35" s="1230"/>
      <c r="G35" s="1197"/>
      <c r="H35" s="1197"/>
      <c r="I35" s="1243"/>
      <c r="J35" s="1230"/>
      <c r="K35" s="1230"/>
      <c r="L35" s="1230"/>
      <c r="M35" s="690"/>
      <c r="N35" s="690"/>
      <c r="O35" s="690"/>
      <c r="P35" s="690"/>
      <c r="Q35" s="631"/>
      <c r="Y35" s="631"/>
      <c r="Z35" s="631"/>
      <c r="AA35" s="631"/>
      <c r="AB35" s="631"/>
      <c r="AC35" s="631"/>
    </row>
    <row r="36" spans="1:29" s="48" customFormat="1" ht="12" customHeight="1" x14ac:dyDescent="0.25">
      <c r="B36" s="1300"/>
      <c r="C36" s="1300"/>
      <c r="D36" s="1243"/>
      <c r="E36" s="673"/>
      <c r="F36" s="1230"/>
      <c r="G36" s="1197"/>
      <c r="H36" s="1197"/>
      <c r="I36" s="1243"/>
      <c r="J36" s="1230"/>
      <c r="K36" s="1230"/>
      <c r="L36" s="1230"/>
      <c r="M36" s="690"/>
      <c r="N36" s="690"/>
      <c r="O36" s="690"/>
      <c r="P36" s="690"/>
      <c r="Q36" s="631"/>
      <c r="Y36" s="631"/>
      <c r="Z36" s="631"/>
      <c r="AA36" s="631"/>
      <c r="AB36" s="631"/>
      <c r="AC36" s="631"/>
    </row>
    <row r="37" spans="1:29" s="48" customFormat="1" ht="12" customHeight="1" x14ac:dyDescent="0.25">
      <c r="B37" s="1300"/>
      <c r="C37" s="1300"/>
      <c r="D37" s="1243"/>
      <c r="E37" s="673"/>
      <c r="F37" s="1230"/>
      <c r="G37" s="1197"/>
      <c r="H37" s="1197"/>
      <c r="I37" s="1243"/>
      <c r="J37" s="1230"/>
      <c r="K37" s="1230"/>
      <c r="L37" s="1230"/>
      <c r="M37" s="690"/>
      <c r="N37" s="690"/>
      <c r="O37" s="690"/>
      <c r="P37" s="690"/>
      <c r="Q37" s="631"/>
      <c r="Y37" s="631"/>
      <c r="Z37" s="631"/>
      <c r="AA37" s="631"/>
      <c r="AB37" s="631"/>
      <c r="AC37" s="631"/>
    </row>
    <row r="38" spans="1:29" s="48" customFormat="1" ht="12" customHeight="1" x14ac:dyDescent="0.25">
      <c r="B38" s="1300"/>
      <c r="C38" s="1300"/>
      <c r="D38" s="1243"/>
      <c r="E38" s="673"/>
      <c r="F38" s="1230"/>
      <c r="G38" s="1197"/>
      <c r="H38" s="1197"/>
      <c r="I38" s="1243"/>
      <c r="J38" s="1230"/>
      <c r="K38" s="1230"/>
      <c r="L38" s="1230"/>
      <c r="M38" s="690"/>
      <c r="N38" s="690"/>
      <c r="O38" s="690"/>
      <c r="P38" s="690"/>
      <c r="Q38" s="631"/>
      <c r="Y38" s="631"/>
      <c r="Z38" s="631"/>
      <c r="AA38" s="631"/>
      <c r="AB38" s="631"/>
      <c r="AC38" s="631"/>
    </row>
    <row r="39" spans="1:29" s="48" customFormat="1" ht="12" customHeight="1" x14ac:dyDescent="0.25">
      <c r="B39" s="1300"/>
      <c r="C39" s="1300"/>
      <c r="D39" s="1243"/>
      <c r="E39" s="673"/>
      <c r="F39" s="1230"/>
      <c r="G39" s="1197"/>
      <c r="H39" s="1197"/>
      <c r="I39" s="1243"/>
      <c r="J39" s="1230"/>
      <c r="K39" s="1230"/>
      <c r="L39" s="1230"/>
      <c r="M39" s="690"/>
      <c r="N39" s="690"/>
      <c r="O39" s="690"/>
      <c r="P39" s="690"/>
      <c r="Q39" s="631"/>
      <c r="Y39" s="631"/>
      <c r="Z39" s="631"/>
      <c r="AA39" s="631"/>
      <c r="AB39" s="631"/>
      <c r="AC39" s="631"/>
    </row>
    <row r="40" spans="1:29" s="48" customFormat="1" ht="12" customHeight="1" x14ac:dyDescent="0.25">
      <c r="B40" s="1300"/>
      <c r="C40" s="1300"/>
      <c r="D40" s="1243"/>
      <c r="E40" s="1230"/>
      <c r="F40" s="1230"/>
      <c r="G40" s="1197"/>
      <c r="H40" s="1197"/>
      <c r="I40" s="1243"/>
      <c r="J40" s="1230"/>
      <c r="K40" s="1230"/>
      <c r="L40" s="1230"/>
      <c r="M40" s="690"/>
      <c r="N40" s="690"/>
      <c r="O40" s="690"/>
      <c r="P40" s="690"/>
      <c r="Q40" s="631"/>
      <c r="Y40" s="631"/>
      <c r="Z40" s="631"/>
      <c r="AA40" s="631"/>
      <c r="AB40" s="631"/>
      <c r="AC40" s="631"/>
    </row>
    <row r="41" spans="1:29" s="48" customFormat="1" ht="12" customHeight="1" x14ac:dyDescent="0.25">
      <c r="B41" s="1300"/>
      <c r="C41" s="1300"/>
      <c r="D41" s="1243"/>
      <c r="E41" s="1230"/>
      <c r="F41" s="1230"/>
      <c r="G41" s="1197"/>
      <c r="H41" s="1197"/>
      <c r="I41" s="1243"/>
      <c r="J41" s="1230"/>
      <c r="K41" s="1230"/>
      <c r="L41" s="1230"/>
      <c r="M41" s="690"/>
      <c r="N41" s="690"/>
      <c r="O41" s="690"/>
      <c r="P41" s="690"/>
      <c r="Q41" s="631"/>
      <c r="Y41" s="631"/>
      <c r="Z41" s="631"/>
      <c r="AA41" s="631"/>
      <c r="AB41" s="631"/>
      <c r="AC41" s="631"/>
    </row>
    <row r="42" spans="1:29" s="48" customFormat="1" ht="12" customHeight="1" x14ac:dyDescent="0.25">
      <c r="B42" s="1300"/>
      <c r="C42" s="1300"/>
      <c r="D42" s="1243"/>
      <c r="E42" s="1230"/>
      <c r="F42" s="1230"/>
      <c r="G42" s="1197"/>
      <c r="H42" s="1197"/>
      <c r="I42" s="1243"/>
      <c r="J42" s="1230"/>
      <c r="K42" s="1230"/>
      <c r="L42" s="1230"/>
      <c r="M42" s="690"/>
      <c r="N42" s="690"/>
      <c r="O42" s="690"/>
      <c r="P42" s="690"/>
      <c r="Q42" s="631"/>
      <c r="Y42" s="631"/>
      <c r="Z42" s="631"/>
      <c r="AA42" s="631"/>
      <c r="AB42" s="631"/>
      <c r="AC42" s="631"/>
    </row>
    <row r="43" spans="1:29" s="48" customFormat="1" ht="12" customHeight="1" x14ac:dyDescent="0.25">
      <c r="B43" s="1300"/>
      <c r="C43" s="1300"/>
      <c r="D43" s="1243"/>
      <c r="E43" s="673"/>
      <c r="F43" s="1230"/>
      <c r="G43" s="1197"/>
      <c r="H43" s="1197"/>
      <c r="I43" s="1243"/>
      <c r="J43" s="1230"/>
      <c r="K43" s="1230"/>
      <c r="L43" s="1230"/>
      <c r="M43" s="690"/>
      <c r="N43" s="690"/>
      <c r="O43" s="690"/>
      <c r="P43" s="690"/>
      <c r="Q43" s="631"/>
      <c r="Y43" s="631"/>
      <c r="Z43" s="631"/>
      <c r="AA43" s="631"/>
      <c r="AB43" s="631"/>
      <c r="AC43" s="631"/>
    </row>
    <row r="44" spans="1:29" s="48" customFormat="1" ht="12" customHeight="1" x14ac:dyDescent="0.25">
      <c r="B44" s="1300"/>
      <c r="C44" s="1300"/>
      <c r="D44" s="1243"/>
      <c r="E44" s="1230"/>
      <c r="F44" s="1230"/>
      <c r="G44" s="1197"/>
      <c r="H44" s="1197"/>
      <c r="I44" s="1243"/>
      <c r="J44" s="1230"/>
      <c r="K44" s="1230"/>
      <c r="L44" s="1230"/>
      <c r="M44" s="690"/>
      <c r="N44" s="690"/>
      <c r="O44" s="690"/>
      <c r="P44" s="690"/>
      <c r="Q44" s="631"/>
      <c r="Y44" s="631"/>
      <c r="Z44" s="631"/>
      <c r="AA44" s="631"/>
      <c r="AB44" s="631"/>
      <c r="AC44" s="631"/>
    </row>
    <row r="45" spans="1:29" s="48" customFormat="1" ht="12" customHeight="1" x14ac:dyDescent="0.25">
      <c r="B45" s="1300"/>
      <c r="C45" s="1300"/>
      <c r="D45" s="1243"/>
      <c r="E45" s="1230"/>
      <c r="F45" s="1230"/>
      <c r="G45" s="1197"/>
      <c r="H45" s="1197"/>
      <c r="I45" s="1243"/>
      <c r="J45" s="1230"/>
      <c r="K45" s="1230"/>
      <c r="L45" s="1230"/>
      <c r="M45" s="690"/>
      <c r="N45" s="690"/>
      <c r="O45" s="690"/>
      <c r="P45" s="690"/>
      <c r="Q45" s="631"/>
      <c r="Y45" s="631"/>
      <c r="Z45" s="631"/>
      <c r="AA45" s="631"/>
      <c r="AB45" s="631"/>
      <c r="AC45" s="631"/>
    </row>
    <row r="46" spans="1:29" s="48" customFormat="1" ht="12" customHeight="1" x14ac:dyDescent="0.25">
      <c r="B46" s="1300"/>
      <c r="C46" s="1300"/>
      <c r="D46" s="1243"/>
      <c r="E46" s="1230"/>
      <c r="F46" s="1230"/>
      <c r="G46" s="1197"/>
      <c r="H46" s="1197"/>
      <c r="I46" s="1243"/>
      <c r="J46" s="1230"/>
      <c r="K46" s="1230"/>
      <c r="L46" s="1230"/>
      <c r="M46" s="690"/>
      <c r="N46" s="690"/>
      <c r="O46" s="690"/>
      <c r="P46" s="690"/>
      <c r="Q46" s="631"/>
      <c r="Y46" s="631"/>
      <c r="Z46" s="631"/>
      <c r="AA46" s="631"/>
      <c r="AB46" s="631"/>
      <c r="AC46" s="631"/>
    </row>
    <row r="47" spans="1:29" s="48" customFormat="1" ht="12" customHeight="1" x14ac:dyDescent="0.25">
      <c r="B47" s="1300"/>
      <c r="C47" s="1300"/>
      <c r="D47" s="1243"/>
      <c r="E47" s="673"/>
      <c r="F47" s="1230"/>
      <c r="G47" s="1197"/>
      <c r="H47" s="1197"/>
      <c r="I47" s="1243"/>
      <c r="J47" s="1230"/>
      <c r="K47" s="1230"/>
      <c r="L47" s="1230"/>
      <c r="M47" s="690"/>
      <c r="N47" s="690"/>
      <c r="O47" s="690"/>
      <c r="P47" s="690"/>
      <c r="Q47" s="631"/>
      <c r="Y47" s="631"/>
      <c r="Z47" s="631"/>
      <c r="AA47" s="631"/>
      <c r="AB47" s="631"/>
      <c r="AC47" s="631"/>
    </row>
    <row r="48" spans="1:29" s="48" customFormat="1" ht="16.5" customHeight="1" x14ac:dyDescent="0.25">
      <c r="A48" s="707"/>
      <c r="B48" s="1412"/>
      <c r="C48" s="1300"/>
      <c r="D48" s="1243"/>
      <c r="E48" s="673"/>
      <c r="F48" s="1230"/>
      <c r="G48" s="1197"/>
      <c r="H48" s="1197"/>
      <c r="I48" s="1243"/>
      <c r="J48" s="1230"/>
      <c r="K48" s="1230"/>
      <c r="L48" s="1230"/>
      <c r="M48" s="690"/>
      <c r="N48" s="690"/>
      <c r="O48" s="690"/>
      <c r="Y48" s="631"/>
      <c r="Z48" s="631"/>
      <c r="AA48" s="631"/>
      <c r="AB48" s="631"/>
      <c r="AC48" s="631"/>
    </row>
    <row r="49" spans="2:29" s="48" customFormat="1" x14ac:dyDescent="0.25">
      <c r="B49" s="1412"/>
      <c r="C49" s="1300"/>
      <c r="D49" s="1243"/>
      <c r="E49" s="673"/>
      <c r="F49" s="1230"/>
      <c r="G49" s="1197"/>
      <c r="H49" s="1197"/>
      <c r="I49" s="1243"/>
      <c r="J49" s="1230"/>
      <c r="K49" s="1230"/>
      <c r="L49" s="1230"/>
      <c r="M49" s="690"/>
      <c r="N49" s="690"/>
      <c r="O49" s="690"/>
      <c r="Y49" s="631"/>
      <c r="Z49" s="631"/>
      <c r="AA49" s="631"/>
      <c r="AB49" s="631"/>
      <c r="AC49" s="631"/>
    </row>
    <row r="50" spans="2:29" s="48" customFormat="1" x14ac:dyDescent="0.25">
      <c r="B50" s="1412"/>
      <c r="C50" s="1300"/>
      <c r="D50" s="1243"/>
      <c r="E50" s="673"/>
      <c r="F50" s="1230"/>
      <c r="G50" s="1197"/>
      <c r="H50" s="1197"/>
      <c r="I50" s="1243"/>
      <c r="J50" s="1230"/>
      <c r="K50" s="1230"/>
      <c r="L50" s="1230"/>
      <c r="M50" s="690"/>
      <c r="N50" s="690"/>
      <c r="O50" s="690"/>
      <c r="Y50" s="631"/>
      <c r="Z50" s="631"/>
      <c r="AA50" s="631"/>
      <c r="AB50" s="631"/>
      <c r="AC50" s="631"/>
    </row>
    <row r="51" spans="2:29" s="48" customFormat="1" x14ac:dyDescent="0.25">
      <c r="B51" s="1412"/>
      <c r="C51" s="1300"/>
      <c r="D51" s="1243"/>
      <c r="E51" s="673"/>
      <c r="F51" s="1230"/>
      <c r="G51" s="1197"/>
      <c r="H51" s="1197"/>
      <c r="I51" s="1243"/>
      <c r="J51" s="1230"/>
      <c r="K51" s="1230"/>
      <c r="L51" s="1230"/>
      <c r="M51" s="690"/>
      <c r="N51" s="690"/>
      <c r="O51" s="690"/>
      <c r="Y51" s="631"/>
      <c r="Z51" s="631"/>
      <c r="AA51" s="631"/>
      <c r="AB51" s="631"/>
      <c r="AC51" s="631"/>
    </row>
    <row r="52" spans="2:29" s="48" customFormat="1" ht="16.5" customHeight="1" x14ac:dyDescent="0.25">
      <c r="B52" s="1386"/>
      <c r="C52" s="1300"/>
      <c r="D52" s="1243"/>
      <c r="E52" s="673"/>
      <c r="F52" s="1230"/>
      <c r="G52" s="1197"/>
      <c r="H52" s="1197"/>
      <c r="I52" s="1243"/>
      <c r="J52" s="1230"/>
      <c r="K52" s="1230"/>
      <c r="L52" s="1230"/>
      <c r="M52" s="690"/>
      <c r="N52" s="690"/>
      <c r="O52" s="690"/>
      <c r="Y52" s="631"/>
      <c r="Z52" s="631"/>
      <c r="AA52" s="631"/>
      <c r="AB52" s="631"/>
      <c r="AC52" s="631"/>
    </row>
    <row r="53" spans="2:29" s="48" customFormat="1" x14ac:dyDescent="0.25">
      <c r="B53" s="1386"/>
      <c r="C53" s="1300"/>
      <c r="D53" s="1243"/>
      <c r="E53" s="673"/>
      <c r="F53" s="1230"/>
      <c r="G53" s="1197"/>
      <c r="H53" s="1197"/>
      <c r="I53" s="1243"/>
      <c r="J53" s="1230"/>
      <c r="K53" s="1230"/>
      <c r="L53" s="1230"/>
      <c r="M53" s="690"/>
      <c r="N53" s="690"/>
      <c r="O53" s="690"/>
      <c r="Y53" s="631"/>
      <c r="Z53" s="631"/>
      <c r="AA53" s="631"/>
      <c r="AB53" s="631"/>
      <c r="AC53" s="631"/>
    </row>
    <row r="54" spans="2:29" s="48" customFormat="1" x14ac:dyDescent="0.25">
      <c r="B54" s="1386"/>
      <c r="C54" s="1300"/>
      <c r="D54" s="1243"/>
      <c r="E54" s="673"/>
      <c r="F54" s="1230"/>
      <c r="G54" s="1197"/>
      <c r="H54" s="1197"/>
      <c r="I54" s="1243"/>
      <c r="J54" s="1230"/>
      <c r="K54" s="1230"/>
      <c r="L54" s="1230"/>
      <c r="M54" s="690"/>
      <c r="N54" s="690"/>
      <c r="O54" s="690"/>
      <c r="Y54" s="631"/>
      <c r="Z54" s="631"/>
      <c r="AA54" s="631"/>
      <c r="AB54" s="631"/>
      <c r="AC54" s="631"/>
    </row>
    <row r="55" spans="2:29" s="48" customFormat="1" x14ac:dyDescent="0.25">
      <c r="B55" s="1386"/>
      <c r="C55" s="1300"/>
      <c r="D55" s="1243"/>
      <c r="E55" s="673"/>
      <c r="F55" s="1230"/>
      <c r="G55" s="1197"/>
      <c r="H55" s="1197"/>
      <c r="I55" s="1243"/>
      <c r="J55" s="1230"/>
      <c r="K55" s="1230"/>
      <c r="L55" s="1230"/>
      <c r="M55" s="690"/>
      <c r="N55" s="690"/>
      <c r="O55" s="690"/>
      <c r="Y55" s="631"/>
      <c r="Z55" s="631"/>
      <c r="AA55" s="631"/>
      <c r="AB55" s="631"/>
      <c r="AC55" s="631"/>
    </row>
    <row r="56" spans="2:29" s="48" customFormat="1" x14ac:dyDescent="0.25">
      <c r="B56" s="1386"/>
      <c r="C56" s="1300"/>
      <c r="D56" s="1243"/>
      <c r="E56" s="673"/>
      <c r="F56" s="1230"/>
      <c r="G56" s="1197"/>
      <c r="H56" s="1197"/>
      <c r="I56" s="1243"/>
      <c r="J56" s="1230"/>
      <c r="K56" s="1230"/>
      <c r="L56" s="1230"/>
      <c r="M56" s="690"/>
      <c r="N56" s="690"/>
      <c r="O56" s="690"/>
      <c r="Y56" s="631"/>
      <c r="Z56" s="631"/>
      <c r="AA56" s="631"/>
      <c r="AB56" s="631"/>
      <c r="AC56" s="631"/>
    </row>
    <row r="57" spans="2:29" s="48" customFormat="1" x14ac:dyDescent="0.25">
      <c r="B57" s="1386"/>
      <c r="C57" s="1300"/>
      <c r="D57" s="1243"/>
      <c r="E57" s="673"/>
      <c r="F57" s="1230"/>
      <c r="G57" s="1197"/>
      <c r="H57" s="1197"/>
      <c r="I57" s="1243"/>
      <c r="J57" s="1230"/>
      <c r="K57" s="1230"/>
      <c r="L57" s="1230"/>
      <c r="M57" s="690"/>
      <c r="N57" s="690"/>
      <c r="O57" s="690"/>
      <c r="Y57" s="631"/>
      <c r="Z57" s="631"/>
      <c r="AA57" s="631"/>
      <c r="AB57" s="631"/>
      <c r="AC57" s="631"/>
    </row>
    <row r="58" spans="2:29" s="48" customFormat="1" x14ac:dyDescent="0.25">
      <c r="B58" s="1386"/>
      <c r="C58" s="1300"/>
      <c r="D58" s="1243"/>
      <c r="E58" s="673"/>
      <c r="F58" s="1230"/>
      <c r="G58" s="1197"/>
      <c r="H58" s="1197"/>
      <c r="I58" s="1243"/>
      <c r="J58" s="1230"/>
      <c r="K58" s="1230"/>
      <c r="L58" s="1230"/>
      <c r="M58" s="690"/>
      <c r="N58" s="690"/>
      <c r="O58" s="690"/>
      <c r="Y58" s="631"/>
      <c r="Z58" s="631"/>
      <c r="AA58" s="631"/>
      <c r="AB58" s="631"/>
      <c r="AC58" s="631"/>
    </row>
    <row r="59" spans="2:29" s="48" customFormat="1" x14ac:dyDescent="0.25">
      <c r="B59" s="1386"/>
      <c r="C59" s="1300"/>
      <c r="D59" s="1243"/>
      <c r="E59" s="673"/>
      <c r="F59" s="1230"/>
      <c r="G59" s="1197"/>
      <c r="H59" s="1197"/>
      <c r="I59" s="1243"/>
      <c r="J59" s="1230"/>
      <c r="K59" s="1230"/>
      <c r="L59" s="1230"/>
      <c r="M59" s="690"/>
      <c r="N59" s="690"/>
      <c r="O59" s="690"/>
      <c r="Y59" s="631"/>
      <c r="Z59" s="631"/>
      <c r="AA59" s="631"/>
      <c r="AB59" s="631"/>
      <c r="AC59" s="631"/>
    </row>
    <row r="60" spans="2:29" s="48" customFormat="1" x14ac:dyDescent="0.25">
      <c r="B60" s="1386"/>
      <c r="C60" s="1300"/>
      <c r="D60" s="1243"/>
      <c r="E60" s="673"/>
      <c r="F60" s="1230"/>
      <c r="G60" s="1197"/>
      <c r="H60" s="1197"/>
      <c r="I60" s="1243"/>
      <c r="J60" s="1230"/>
      <c r="K60" s="1230"/>
      <c r="L60" s="1230"/>
      <c r="M60" s="690"/>
      <c r="N60" s="690"/>
      <c r="O60" s="690"/>
      <c r="Y60" s="631"/>
      <c r="Z60" s="631"/>
      <c r="AA60" s="631"/>
      <c r="AB60" s="631"/>
      <c r="AC60" s="631"/>
    </row>
    <row r="61" spans="2:29" s="48" customFormat="1" x14ac:dyDescent="0.25">
      <c r="B61" s="1386"/>
      <c r="C61" s="1300"/>
      <c r="D61" s="1243"/>
      <c r="E61" s="673"/>
      <c r="F61" s="1230"/>
      <c r="G61" s="1197"/>
      <c r="H61" s="1197"/>
      <c r="I61" s="1243"/>
      <c r="J61" s="1230"/>
      <c r="K61" s="1230"/>
      <c r="L61" s="1230"/>
      <c r="M61" s="690"/>
      <c r="N61" s="690"/>
      <c r="O61" s="690"/>
      <c r="Y61" s="631"/>
      <c r="Z61" s="631"/>
      <c r="AA61" s="631"/>
      <c r="AB61" s="631"/>
      <c r="AC61" s="631"/>
    </row>
    <row r="62" spans="2:29" s="48" customFormat="1" x14ac:dyDescent="0.25">
      <c r="B62" s="1386"/>
      <c r="C62" s="1300"/>
      <c r="D62" s="1243"/>
      <c r="E62" s="673"/>
      <c r="F62" s="1230"/>
      <c r="G62" s="1197"/>
      <c r="H62" s="1197"/>
      <c r="I62" s="1243"/>
      <c r="J62" s="1230"/>
      <c r="K62" s="1230"/>
      <c r="L62" s="1230"/>
      <c r="M62" s="690"/>
      <c r="N62" s="690"/>
      <c r="O62" s="690"/>
      <c r="Y62" s="631"/>
      <c r="Z62" s="631"/>
      <c r="AA62" s="631"/>
      <c r="AB62" s="631"/>
      <c r="AC62" s="631"/>
    </row>
    <row r="63" spans="2:29" s="48" customFormat="1" x14ac:dyDescent="0.25">
      <c r="B63" s="1386"/>
      <c r="C63" s="1300"/>
      <c r="D63" s="1243"/>
      <c r="E63" s="673"/>
      <c r="F63" s="1230"/>
      <c r="G63" s="1197"/>
      <c r="H63" s="1197"/>
      <c r="I63" s="1243"/>
      <c r="J63" s="1230"/>
      <c r="K63" s="1230"/>
      <c r="L63" s="1230"/>
      <c r="M63" s="690"/>
      <c r="N63" s="690"/>
      <c r="O63" s="690"/>
      <c r="Y63" s="631"/>
      <c r="Z63" s="631"/>
      <c r="AA63" s="631"/>
      <c r="AB63" s="631"/>
      <c r="AC63" s="631"/>
    </row>
    <row r="64" spans="2:29" s="48" customFormat="1" x14ac:dyDescent="0.25">
      <c r="B64" s="1386"/>
      <c r="C64" s="1300"/>
      <c r="D64" s="1243"/>
      <c r="E64" s="673"/>
      <c r="F64" s="1230"/>
      <c r="G64" s="1197"/>
      <c r="H64" s="1197"/>
      <c r="I64" s="1243"/>
      <c r="J64" s="1230"/>
      <c r="K64" s="1230"/>
      <c r="L64" s="1230"/>
      <c r="M64" s="690"/>
      <c r="N64" s="690"/>
      <c r="O64" s="690"/>
      <c r="Y64" s="631"/>
      <c r="Z64" s="631"/>
      <c r="AA64" s="631"/>
      <c r="AB64" s="631"/>
      <c r="AC64" s="631"/>
    </row>
    <row r="65" spans="2:29" s="48" customFormat="1" x14ac:dyDescent="0.25">
      <c r="B65" s="1386"/>
      <c r="C65" s="1300"/>
      <c r="D65" s="1243"/>
      <c r="E65" s="673"/>
      <c r="F65" s="1230"/>
      <c r="G65" s="1197"/>
      <c r="H65" s="1197"/>
      <c r="I65" s="1243"/>
      <c r="J65" s="1230"/>
      <c r="K65" s="1230"/>
      <c r="L65" s="1230"/>
      <c r="M65" s="690"/>
      <c r="N65" s="690"/>
      <c r="O65" s="690"/>
      <c r="Y65" s="631"/>
      <c r="Z65" s="631"/>
      <c r="AA65" s="631"/>
      <c r="AB65" s="631"/>
      <c r="AC65" s="631"/>
    </row>
    <row r="66" spans="2:29" s="48" customFormat="1" x14ac:dyDescent="0.25">
      <c r="B66" s="1386"/>
      <c r="C66" s="1300"/>
      <c r="D66" s="1243"/>
      <c r="E66" s="673"/>
      <c r="F66" s="1230"/>
      <c r="G66" s="1197"/>
      <c r="H66" s="1197"/>
      <c r="I66" s="1243"/>
      <c r="J66" s="1230"/>
      <c r="K66" s="1230"/>
      <c r="L66" s="1230"/>
      <c r="M66" s="690"/>
      <c r="N66" s="690"/>
      <c r="O66" s="690"/>
      <c r="Y66" s="631"/>
      <c r="Z66" s="631"/>
      <c r="AA66" s="631"/>
      <c r="AB66" s="631"/>
      <c r="AC66" s="631"/>
    </row>
    <row r="67" spans="2:29" s="48" customFormat="1" x14ac:dyDescent="0.25">
      <c r="B67" s="1386"/>
      <c r="C67" s="1300"/>
      <c r="D67" s="1243"/>
      <c r="E67" s="673"/>
      <c r="F67" s="1230"/>
      <c r="G67" s="1197"/>
      <c r="H67" s="1197"/>
      <c r="I67" s="1243"/>
      <c r="J67" s="1230"/>
      <c r="K67" s="1230"/>
      <c r="L67" s="1230"/>
      <c r="M67" s="690"/>
      <c r="N67" s="690"/>
      <c r="O67" s="690"/>
      <c r="Y67" s="631"/>
      <c r="Z67" s="631"/>
      <c r="AA67" s="631"/>
      <c r="AB67" s="631"/>
      <c r="AC67" s="631"/>
    </row>
    <row r="68" spans="2:29" s="48" customFormat="1" x14ac:dyDescent="0.25">
      <c r="B68" s="1386"/>
      <c r="C68" s="1300"/>
      <c r="D68" s="1243"/>
      <c r="E68" s="673"/>
      <c r="F68" s="1230"/>
      <c r="G68" s="1197"/>
      <c r="H68" s="1197"/>
      <c r="I68" s="1243"/>
      <c r="J68" s="1230"/>
      <c r="K68" s="1230"/>
      <c r="L68" s="1230"/>
      <c r="M68" s="690"/>
      <c r="N68" s="690"/>
      <c r="O68" s="690"/>
      <c r="Y68" s="631"/>
      <c r="Z68" s="631"/>
      <c r="AA68" s="631"/>
      <c r="AB68" s="631"/>
      <c r="AC68" s="631"/>
    </row>
    <row r="69" spans="2:29" s="48" customFormat="1" x14ac:dyDescent="0.25">
      <c r="B69" s="1386"/>
      <c r="C69" s="1300"/>
      <c r="D69" s="1243"/>
      <c r="E69" s="673"/>
      <c r="F69" s="1230"/>
      <c r="G69" s="1197"/>
      <c r="H69" s="1197"/>
      <c r="I69" s="1243"/>
      <c r="J69" s="1230"/>
      <c r="K69" s="1230"/>
      <c r="L69" s="1230"/>
      <c r="M69" s="690"/>
      <c r="N69" s="690"/>
      <c r="O69" s="690"/>
      <c r="Y69" s="631"/>
      <c r="Z69" s="631"/>
      <c r="AA69" s="631"/>
      <c r="AB69" s="631"/>
      <c r="AC69" s="631"/>
    </row>
    <row r="70" spans="2:29" s="48" customFormat="1" x14ac:dyDescent="0.25">
      <c r="B70" s="1386"/>
      <c r="C70" s="1300"/>
      <c r="D70" s="1243"/>
      <c r="E70" s="673"/>
      <c r="F70" s="1230"/>
      <c r="G70" s="1197"/>
      <c r="H70" s="1197"/>
      <c r="I70" s="1243"/>
      <c r="J70" s="1230"/>
      <c r="K70" s="1230"/>
      <c r="L70" s="1230"/>
      <c r="M70" s="690"/>
      <c r="N70" s="690"/>
      <c r="O70" s="690"/>
      <c r="Y70" s="631"/>
      <c r="Z70" s="631"/>
      <c r="AA70" s="631"/>
      <c r="AB70" s="631"/>
      <c r="AC70" s="631"/>
    </row>
    <row r="71" spans="2:29" s="48" customFormat="1" x14ac:dyDescent="0.25">
      <c r="B71" s="1386"/>
      <c r="C71" s="1300"/>
      <c r="D71" s="1243"/>
      <c r="E71" s="673"/>
      <c r="F71" s="1230"/>
      <c r="G71" s="1197"/>
      <c r="H71" s="1197"/>
      <c r="I71" s="1243"/>
      <c r="J71" s="1230"/>
      <c r="K71" s="1230"/>
      <c r="L71" s="1230"/>
      <c r="M71" s="690"/>
      <c r="N71" s="690"/>
      <c r="O71" s="690"/>
      <c r="Y71" s="631"/>
      <c r="Z71" s="631"/>
      <c r="AA71" s="631"/>
      <c r="AB71" s="631"/>
      <c r="AC71" s="631"/>
    </row>
    <row r="72" spans="2:29" s="48" customFormat="1" x14ac:dyDescent="0.25">
      <c r="B72" s="1386"/>
      <c r="C72" s="1300"/>
      <c r="D72" s="1243"/>
      <c r="E72" s="673"/>
      <c r="F72" s="1230"/>
      <c r="G72" s="1197"/>
      <c r="H72" s="1197"/>
      <c r="I72" s="1243"/>
      <c r="J72" s="1230"/>
      <c r="K72" s="1230"/>
      <c r="L72" s="1230"/>
      <c r="M72" s="690"/>
      <c r="N72" s="690"/>
      <c r="O72" s="690"/>
      <c r="Y72" s="631"/>
      <c r="Z72" s="631"/>
      <c r="AA72" s="631"/>
      <c r="AB72" s="631"/>
      <c r="AC72" s="631"/>
    </row>
    <row r="73" spans="2:29" s="48" customFormat="1" x14ac:dyDescent="0.25">
      <c r="B73" s="1386"/>
      <c r="C73" s="1300"/>
      <c r="D73" s="1243"/>
      <c r="E73" s="673"/>
      <c r="F73" s="1230"/>
      <c r="G73" s="1197"/>
      <c r="H73" s="1197"/>
      <c r="I73" s="1243"/>
      <c r="J73" s="1230"/>
      <c r="K73" s="1230"/>
      <c r="L73" s="1230"/>
      <c r="M73" s="690"/>
      <c r="N73" s="690"/>
      <c r="O73" s="690"/>
      <c r="Y73" s="631"/>
      <c r="Z73" s="631"/>
      <c r="AA73" s="631"/>
      <c r="AB73" s="631"/>
      <c r="AC73" s="631"/>
    </row>
    <row r="74" spans="2:29" s="48" customFormat="1" x14ac:dyDescent="0.25">
      <c r="B74" s="1386"/>
      <c r="C74" s="1300"/>
      <c r="D74" s="1243"/>
      <c r="E74" s="673"/>
      <c r="F74" s="1230"/>
      <c r="G74" s="1197"/>
      <c r="H74" s="1197"/>
      <c r="I74" s="1243"/>
      <c r="J74" s="1230"/>
      <c r="K74" s="1230"/>
      <c r="L74" s="1230"/>
      <c r="M74" s="690"/>
      <c r="N74" s="690"/>
      <c r="O74" s="690"/>
      <c r="Y74" s="631"/>
      <c r="Z74" s="631"/>
      <c r="AA74" s="631"/>
      <c r="AB74" s="631"/>
      <c r="AC74" s="631"/>
    </row>
    <row r="75" spans="2:29" s="48" customFormat="1" x14ac:dyDescent="0.25">
      <c r="B75" s="1386"/>
      <c r="C75" s="1300"/>
      <c r="D75" s="1243"/>
      <c r="E75" s="673"/>
      <c r="F75" s="1230"/>
      <c r="G75" s="1197"/>
      <c r="H75" s="1197"/>
      <c r="I75" s="1243"/>
      <c r="J75" s="1230"/>
      <c r="K75" s="1230"/>
      <c r="L75" s="1230"/>
      <c r="M75" s="690"/>
      <c r="N75" s="690"/>
      <c r="O75" s="690"/>
      <c r="Y75" s="631"/>
      <c r="Z75" s="631"/>
      <c r="AA75" s="631"/>
      <c r="AB75" s="631"/>
      <c r="AC75" s="631"/>
    </row>
    <row r="76" spans="2:29" s="48" customFormat="1" x14ac:dyDescent="0.25">
      <c r="B76" s="1386"/>
      <c r="C76" s="1300"/>
      <c r="D76" s="1243"/>
      <c r="E76" s="1230"/>
      <c r="F76" s="1230"/>
      <c r="G76" s="1197"/>
      <c r="H76" s="1197"/>
      <c r="I76" s="1243"/>
      <c r="J76" s="1230"/>
      <c r="K76" s="1230"/>
      <c r="L76" s="1230"/>
      <c r="M76" s="690"/>
      <c r="N76" s="690"/>
      <c r="O76" s="690"/>
      <c r="Y76" s="631"/>
      <c r="Z76" s="631"/>
      <c r="AA76" s="631"/>
      <c r="AB76" s="631"/>
      <c r="AC76" s="631"/>
    </row>
    <row r="77" spans="2:29" s="48" customFormat="1" x14ac:dyDescent="0.25">
      <c r="B77" s="1386"/>
      <c r="C77" s="1300"/>
      <c r="D77" s="1243"/>
      <c r="E77" s="1230"/>
      <c r="F77" s="1230"/>
      <c r="G77" s="1197"/>
      <c r="H77" s="1197"/>
      <c r="I77" s="1243"/>
      <c r="J77" s="1230"/>
      <c r="K77" s="1230"/>
      <c r="L77" s="1230"/>
      <c r="M77" s="690"/>
      <c r="N77" s="690"/>
      <c r="O77" s="690"/>
      <c r="Y77" s="631"/>
      <c r="Z77" s="631"/>
      <c r="AA77" s="631"/>
      <c r="AB77" s="631"/>
      <c r="AC77" s="631"/>
    </row>
    <row r="78" spans="2:29" s="48" customFormat="1" x14ac:dyDescent="0.25">
      <c r="B78" s="1386"/>
      <c r="C78" s="1300"/>
      <c r="D78" s="1243"/>
      <c r="E78" s="1230"/>
      <c r="F78" s="1230"/>
      <c r="G78" s="1197"/>
      <c r="H78" s="1197"/>
      <c r="I78" s="1243"/>
      <c r="J78" s="1230"/>
      <c r="K78" s="1230"/>
      <c r="L78" s="1230"/>
      <c r="M78" s="690"/>
      <c r="N78" s="690"/>
      <c r="O78" s="690"/>
      <c r="Y78" s="631"/>
      <c r="Z78" s="631"/>
      <c r="AA78" s="631"/>
      <c r="AB78" s="631"/>
      <c r="AC78" s="631"/>
    </row>
    <row r="79" spans="2:29" s="48" customFormat="1" x14ac:dyDescent="0.25">
      <c r="B79" s="1386"/>
      <c r="C79" s="1300"/>
      <c r="D79" s="1243"/>
      <c r="E79" s="673"/>
      <c r="F79" s="1230"/>
      <c r="G79" s="1197"/>
      <c r="H79" s="1197"/>
      <c r="I79" s="1243"/>
      <c r="J79" s="1230"/>
      <c r="K79" s="1230"/>
      <c r="L79" s="1230"/>
      <c r="M79" s="690"/>
      <c r="N79" s="690"/>
      <c r="O79" s="690"/>
      <c r="Y79" s="631"/>
      <c r="Z79" s="631"/>
      <c r="AA79" s="631"/>
      <c r="AB79" s="631"/>
      <c r="AC79" s="631"/>
    </row>
    <row r="80" spans="2:29" s="48" customFormat="1" x14ac:dyDescent="0.25">
      <c r="B80" s="1386"/>
      <c r="C80" s="1300"/>
      <c r="D80" s="1243"/>
      <c r="E80" s="673"/>
      <c r="F80" s="1230"/>
      <c r="G80" s="1197"/>
      <c r="H80" s="1197"/>
      <c r="I80" s="1243"/>
      <c r="J80" s="1230"/>
      <c r="K80" s="1230"/>
      <c r="L80" s="1230"/>
      <c r="M80" s="690"/>
      <c r="N80" s="690"/>
      <c r="O80" s="690"/>
      <c r="Y80" s="631"/>
      <c r="Z80" s="631"/>
      <c r="AA80" s="631"/>
      <c r="AB80" s="631"/>
      <c r="AC80" s="631"/>
    </row>
    <row r="81" spans="2:29" s="48" customFormat="1" x14ac:dyDescent="0.25">
      <c r="B81" s="1386"/>
      <c r="C81" s="1300"/>
      <c r="D81" s="1243"/>
      <c r="E81" s="673"/>
      <c r="F81" s="1230"/>
      <c r="G81" s="1197"/>
      <c r="H81" s="1197"/>
      <c r="I81" s="1243"/>
      <c r="J81" s="1230"/>
      <c r="K81" s="1230"/>
      <c r="L81" s="1230"/>
      <c r="M81" s="690"/>
      <c r="N81" s="690"/>
      <c r="O81" s="690"/>
      <c r="Y81" s="631"/>
      <c r="Z81" s="631"/>
      <c r="AA81" s="631"/>
      <c r="AB81" s="631"/>
      <c r="AC81" s="631"/>
    </row>
    <row r="82" spans="2:29" s="48" customFormat="1" x14ac:dyDescent="0.25">
      <c r="B82" s="1386"/>
      <c r="C82" s="1300"/>
      <c r="D82" s="1243"/>
      <c r="E82" s="673"/>
      <c r="F82" s="1230"/>
      <c r="G82" s="1197"/>
      <c r="H82" s="1197"/>
      <c r="I82" s="1243"/>
      <c r="J82" s="1230"/>
      <c r="K82" s="1230"/>
      <c r="L82" s="1230"/>
      <c r="M82" s="690"/>
      <c r="N82" s="690"/>
      <c r="O82" s="690"/>
      <c r="Y82" s="631"/>
      <c r="Z82" s="631"/>
      <c r="AA82" s="631"/>
      <c r="AB82" s="631"/>
      <c r="AC82" s="631"/>
    </row>
    <row r="83" spans="2:29" s="48" customFormat="1" x14ac:dyDescent="0.25">
      <c r="B83" s="1386"/>
      <c r="C83" s="1300"/>
      <c r="D83" s="1243"/>
      <c r="E83" s="673"/>
      <c r="F83" s="1230"/>
      <c r="G83" s="1197"/>
      <c r="H83" s="1197"/>
      <c r="I83" s="1243"/>
      <c r="J83" s="1230"/>
      <c r="K83" s="1230"/>
      <c r="L83" s="1230"/>
      <c r="M83" s="690"/>
      <c r="N83" s="690"/>
      <c r="O83" s="690"/>
      <c r="Y83" s="631"/>
      <c r="Z83" s="631"/>
      <c r="AA83" s="631"/>
      <c r="AB83" s="631"/>
      <c r="AC83" s="631"/>
    </row>
    <row r="84" spans="2:29" s="48" customFormat="1" x14ac:dyDescent="0.25">
      <c r="B84" s="1386"/>
      <c r="C84" s="1300"/>
      <c r="D84" s="1243"/>
      <c r="E84" s="673"/>
      <c r="F84" s="1230"/>
      <c r="G84" s="1197"/>
      <c r="H84" s="1197"/>
      <c r="I84" s="1243"/>
      <c r="J84" s="1230"/>
      <c r="K84" s="1230"/>
      <c r="L84" s="1230"/>
      <c r="M84" s="690"/>
      <c r="N84" s="690"/>
      <c r="O84" s="690"/>
      <c r="Y84" s="631"/>
      <c r="Z84" s="631"/>
      <c r="AA84" s="631"/>
      <c r="AB84" s="631"/>
      <c r="AC84" s="631"/>
    </row>
    <row r="85" spans="2:29" s="48" customFormat="1" x14ac:dyDescent="0.25">
      <c r="B85" s="1386"/>
      <c r="C85" s="1300"/>
      <c r="D85" s="1243"/>
      <c r="E85" s="673"/>
      <c r="F85" s="1230"/>
      <c r="G85" s="1197"/>
      <c r="H85" s="1197"/>
      <c r="I85" s="1243"/>
      <c r="J85" s="1230"/>
      <c r="K85" s="1230"/>
      <c r="L85" s="1230"/>
      <c r="M85" s="690"/>
      <c r="N85" s="690"/>
      <c r="O85" s="690"/>
      <c r="Y85" s="631"/>
      <c r="Z85" s="631"/>
      <c r="AA85" s="631"/>
      <c r="AB85" s="631"/>
      <c r="AC85" s="631"/>
    </row>
    <row r="86" spans="2:29" s="48" customFormat="1" x14ac:dyDescent="0.25">
      <c r="B86" s="1386"/>
      <c r="C86" s="1300"/>
      <c r="D86" s="1243"/>
      <c r="E86" s="673"/>
      <c r="F86" s="1230"/>
      <c r="G86" s="1197"/>
      <c r="H86" s="1197"/>
      <c r="I86" s="1243"/>
      <c r="J86" s="1230"/>
      <c r="K86" s="1230"/>
      <c r="L86" s="1230"/>
      <c r="M86" s="690"/>
      <c r="N86" s="690"/>
      <c r="O86" s="690"/>
      <c r="Y86" s="631"/>
      <c r="Z86" s="631"/>
      <c r="AA86" s="631"/>
      <c r="AB86" s="631"/>
      <c r="AC86" s="631"/>
    </row>
    <row r="87" spans="2:29" s="48" customFormat="1" x14ac:dyDescent="0.25">
      <c r="B87" s="1386"/>
      <c r="C87" s="1300"/>
      <c r="D87" s="1243"/>
      <c r="E87" s="673"/>
      <c r="F87" s="1230"/>
      <c r="G87" s="1197"/>
      <c r="H87" s="1197"/>
      <c r="I87" s="1243"/>
      <c r="J87" s="1230"/>
      <c r="K87" s="1230"/>
      <c r="L87" s="1230"/>
      <c r="M87" s="690"/>
      <c r="N87" s="690"/>
      <c r="O87" s="690"/>
      <c r="Y87" s="631"/>
      <c r="Z87" s="631"/>
      <c r="AA87" s="631"/>
      <c r="AB87" s="631"/>
      <c r="AC87" s="631"/>
    </row>
    <row r="88" spans="2:29" s="48" customFormat="1" x14ac:dyDescent="0.25">
      <c r="B88" s="1386"/>
      <c r="C88" s="1300"/>
      <c r="D88" s="1243"/>
      <c r="E88" s="673"/>
      <c r="F88" s="1230"/>
      <c r="G88" s="1197"/>
      <c r="H88" s="1197"/>
      <c r="I88" s="1243"/>
      <c r="J88" s="1230"/>
      <c r="K88" s="1230"/>
      <c r="L88" s="1230"/>
      <c r="M88" s="690"/>
      <c r="N88" s="690"/>
      <c r="O88" s="690"/>
      <c r="Y88" s="631"/>
      <c r="Z88" s="631"/>
      <c r="AA88" s="631"/>
      <c r="AB88" s="631"/>
      <c r="AC88" s="631"/>
    </row>
    <row r="89" spans="2:29" s="48" customFormat="1" x14ac:dyDescent="0.25">
      <c r="B89" s="1386"/>
      <c r="C89" s="1300"/>
      <c r="D89" s="1243"/>
      <c r="E89" s="673"/>
      <c r="F89" s="1230"/>
      <c r="G89" s="1197"/>
      <c r="H89" s="1197"/>
      <c r="I89" s="1243"/>
      <c r="J89" s="1230"/>
      <c r="K89" s="1230"/>
      <c r="L89" s="1230"/>
      <c r="M89" s="690"/>
      <c r="N89" s="690"/>
      <c r="O89" s="690"/>
      <c r="Y89" s="631"/>
      <c r="Z89" s="631"/>
      <c r="AA89" s="631"/>
      <c r="AB89" s="631"/>
      <c r="AC89" s="631"/>
    </row>
    <row r="90" spans="2:29" s="48" customFormat="1" x14ac:dyDescent="0.25">
      <c r="B90" s="1386"/>
      <c r="C90" s="1300"/>
      <c r="D90" s="1243"/>
      <c r="E90" s="673"/>
      <c r="F90" s="1230"/>
      <c r="G90" s="1197"/>
      <c r="H90" s="1197"/>
      <c r="I90" s="1243"/>
      <c r="J90" s="1230"/>
      <c r="K90" s="1230"/>
      <c r="L90" s="1230"/>
      <c r="M90" s="690"/>
      <c r="N90" s="690"/>
      <c r="O90" s="690"/>
      <c r="Y90" s="631"/>
      <c r="Z90" s="631"/>
      <c r="AA90" s="631"/>
      <c r="AB90" s="631"/>
      <c r="AC90" s="631"/>
    </row>
    <row r="91" spans="2:29" s="48" customFormat="1" x14ac:dyDescent="0.25">
      <c r="B91" s="1386"/>
      <c r="C91" s="1300"/>
      <c r="D91" s="1243"/>
      <c r="E91" s="673"/>
      <c r="F91" s="1230"/>
      <c r="G91" s="1197"/>
      <c r="H91" s="1197"/>
      <c r="I91" s="1243"/>
      <c r="J91" s="1230"/>
      <c r="K91" s="1230"/>
      <c r="L91" s="1230"/>
      <c r="M91" s="690"/>
      <c r="N91" s="690"/>
      <c r="O91" s="690"/>
      <c r="Y91" s="631"/>
      <c r="Z91" s="631"/>
      <c r="AA91" s="631"/>
      <c r="AB91" s="631"/>
      <c r="AC91" s="631"/>
    </row>
    <row r="92" spans="2:29" s="48" customFormat="1" x14ac:dyDescent="0.25">
      <c r="B92" s="1386"/>
      <c r="C92" s="1300"/>
      <c r="D92" s="1243"/>
      <c r="E92" s="1230"/>
      <c r="F92" s="1230"/>
      <c r="G92" s="1197"/>
      <c r="H92" s="1197"/>
      <c r="I92" s="1243"/>
      <c r="J92" s="1230"/>
      <c r="K92" s="1230"/>
      <c r="L92" s="1230"/>
      <c r="M92" s="690"/>
      <c r="N92" s="690"/>
      <c r="O92" s="690"/>
      <c r="Y92" s="631"/>
      <c r="Z92" s="631"/>
      <c r="AA92" s="631"/>
      <c r="AB92" s="631"/>
      <c r="AC92" s="631"/>
    </row>
    <row r="93" spans="2:29" s="48" customFormat="1" x14ac:dyDescent="0.25">
      <c r="B93" s="1386"/>
      <c r="C93" s="1300"/>
      <c r="D93" s="1243"/>
      <c r="E93" s="1230"/>
      <c r="F93" s="1230"/>
      <c r="G93" s="1197"/>
      <c r="H93" s="1197"/>
      <c r="I93" s="1243"/>
      <c r="J93" s="1230"/>
      <c r="K93" s="1230"/>
      <c r="L93" s="1230"/>
      <c r="M93" s="690"/>
      <c r="N93" s="690"/>
      <c r="O93" s="690"/>
      <c r="Y93" s="631"/>
      <c r="Z93" s="631"/>
      <c r="AA93" s="631"/>
      <c r="AB93" s="631"/>
      <c r="AC93" s="631"/>
    </row>
    <row r="94" spans="2:29" s="48" customFormat="1" x14ac:dyDescent="0.25">
      <c r="B94" s="1386"/>
      <c r="C94" s="1300"/>
      <c r="D94" s="1243"/>
      <c r="E94" s="673"/>
      <c r="F94" s="1230"/>
      <c r="G94" s="1197"/>
      <c r="H94" s="1197"/>
      <c r="I94" s="1243"/>
      <c r="J94" s="1230"/>
      <c r="K94" s="1230"/>
      <c r="L94" s="1230"/>
      <c r="M94" s="690"/>
      <c r="N94" s="690"/>
      <c r="O94" s="690"/>
      <c r="Y94" s="631"/>
      <c r="Z94" s="631"/>
      <c r="AA94" s="631"/>
      <c r="AB94" s="631"/>
      <c r="AC94" s="631"/>
    </row>
    <row r="95" spans="2:29" s="48" customFormat="1" x14ac:dyDescent="0.25">
      <c r="B95" s="1386"/>
      <c r="C95" s="1300"/>
      <c r="D95" s="1243"/>
      <c r="E95" s="673"/>
      <c r="F95" s="1230"/>
      <c r="G95" s="1197"/>
      <c r="H95" s="1197"/>
      <c r="I95" s="1243"/>
      <c r="J95" s="1230"/>
      <c r="K95" s="1230"/>
      <c r="L95" s="1230"/>
      <c r="M95" s="690"/>
      <c r="N95" s="690"/>
      <c r="O95" s="690"/>
      <c r="Y95" s="631"/>
      <c r="Z95" s="631"/>
      <c r="AA95" s="631"/>
      <c r="AB95" s="631"/>
      <c r="AC95" s="631"/>
    </row>
    <row r="96" spans="2:29" s="48" customFormat="1" x14ac:dyDescent="0.25">
      <c r="B96" s="1386"/>
      <c r="C96" s="1300"/>
      <c r="D96" s="1243"/>
      <c r="E96" s="673"/>
      <c r="F96" s="1230"/>
      <c r="G96" s="1197"/>
      <c r="H96" s="1197"/>
      <c r="I96" s="1243"/>
      <c r="J96" s="1300"/>
      <c r="K96" s="1300"/>
      <c r="L96" s="1300"/>
      <c r="M96" s="690"/>
      <c r="N96" s="690"/>
      <c r="O96" s="690"/>
      <c r="Y96" s="818"/>
      <c r="Z96" s="818"/>
      <c r="AA96" s="818"/>
      <c r="AB96" s="631"/>
      <c r="AC96" s="631"/>
    </row>
    <row r="97" spans="2:29" s="48" customFormat="1" x14ac:dyDescent="0.25">
      <c r="B97" s="1386"/>
      <c r="C97" s="1300"/>
      <c r="D97" s="1243"/>
      <c r="E97" s="673"/>
      <c r="F97" s="1230"/>
      <c r="G97" s="1197"/>
      <c r="H97" s="1197"/>
      <c r="I97" s="1243"/>
      <c r="J97" s="1300"/>
      <c r="K97" s="1300"/>
      <c r="L97" s="1300"/>
      <c r="M97" s="690"/>
      <c r="N97" s="690"/>
      <c r="O97" s="690"/>
      <c r="Y97" s="631"/>
      <c r="Z97" s="631"/>
      <c r="AA97" s="631"/>
      <c r="AB97" s="631"/>
      <c r="AC97" s="631"/>
    </row>
    <row r="98" spans="2:29" s="48" customFormat="1" x14ac:dyDescent="0.25">
      <c r="B98" s="1386"/>
      <c r="C98" s="1300"/>
      <c r="D98" s="1243"/>
      <c r="E98" s="673"/>
      <c r="F98" s="1230"/>
      <c r="G98" s="1197"/>
      <c r="H98" s="1197"/>
      <c r="I98" s="1243"/>
      <c r="J98" s="1300"/>
      <c r="K98" s="1300"/>
      <c r="L98" s="1300"/>
      <c r="M98" s="690"/>
      <c r="N98" s="690"/>
      <c r="O98" s="690"/>
      <c r="Y98" s="631"/>
      <c r="Z98" s="631"/>
      <c r="AA98" s="631"/>
      <c r="AB98" s="631"/>
      <c r="AC98" s="631"/>
    </row>
    <row r="99" spans="2:29" s="48" customFormat="1" x14ac:dyDescent="0.25">
      <c r="B99" s="1386"/>
      <c r="C99" s="1300"/>
      <c r="D99" s="1243"/>
      <c r="E99" s="673"/>
      <c r="F99" s="1230"/>
      <c r="G99" s="1197"/>
      <c r="H99" s="1197"/>
      <c r="I99" s="1243"/>
      <c r="J99" s="1300"/>
      <c r="K99" s="1300"/>
      <c r="L99" s="1300"/>
      <c r="M99" s="690"/>
      <c r="N99" s="690"/>
      <c r="O99" s="690"/>
      <c r="Y99" s="631"/>
      <c r="Z99" s="631"/>
      <c r="AA99" s="631"/>
      <c r="AB99" s="631"/>
      <c r="AC99" s="631"/>
    </row>
    <row r="100" spans="2:29" s="48" customFormat="1" x14ac:dyDescent="0.25">
      <c r="B100" s="1386"/>
      <c r="C100" s="1300"/>
      <c r="D100" s="1243"/>
      <c r="E100" s="673"/>
      <c r="F100" s="1230"/>
      <c r="G100" s="1197"/>
      <c r="H100" s="1230"/>
      <c r="I100" s="1243"/>
      <c r="J100" s="1230"/>
      <c r="K100" s="1230"/>
      <c r="L100" s="1230"/>
      <c r="M100" s="690"/>
      <c r="N100" s="690"/>
      <c r="O100" s="690"/>
      <c r="Y100" s="631"/>
      <c r="Z100" s="631"/>
      <c r="AA100" s="631"/>
      <c r="AB100" s="631"/>
      <c r="AC100" s="631"/>
    </row>
    <row r="101" spans="2:29" s="48" customFormat="1" x14ac:dyDescent="0.25">
      <c r="B101" s="1386"/>
      <c r="C101" s="1300"/>
      <c r="D101" s="1243"/>
      <c r="E101" s="673"/>
      <c r="F101" s="1230"/>
      <c r="G101" s="1197"/>
      <c r="H101" s="1230"/>
      <c r="I101" s="1243"/>
      <c r="J101" s="1230"/>
      <c r="K101" s="1230"/>
      <c r="L101" s="1230"/>
      <c r="M101" s="690"/>
      <c r="N101" s="690"/>
      <c r="O101" s="690"/>
      <c r="Y101" s="631"/>
      <c r="Z101" s="631"/>
      <c r="AA101" s="631"/>
      <c r="AB101" s="631"/>
      <c r="AC101" s="631"/>
    </row>
    <row r="102" spans="2:29" s="48" customFormat="1" x14ac:dyDescent="0.25">
      <c r="B102" s="1386"/>
      <c r="C102" s="1300"/>
      <c r="D102" s="1243"/>
      <c r="E102" s="673"/>
      <c r="F102" s="1230"/>
      <c r="G102" s="1197"/>
      <c r="H102" s="1230"/>
      <c r="I102" s="1243"/>
      <c r="J102" s="1230"/>
      <c r="K102" s="1230"/>
      <c r="L102" s="1230"/>
      <c r="M102" s="690"/>
      <c r="N102" s="690"/>
      <c r="O102" s="690"/>
      <c r="Y102" s="631"/>
      <c r="Z102" s="631"/>
      <c r="AA102" s="631"/>
      <c r="AB102" s="631"/>
      <c r="AC102" s="631"/>
    </row>
    <row r="103" spans="2:29" s="48" customFormat="1" x14ac:dyDescent="0.25">
      <c r="B103" s="1386"/>
      <c r="C103" s="1300"/>
      <c r="D103" s="1243"/>
      <c r="E103" s="673"/>
      <c r="F103" s="1230"/>
      <c r="G103" s="1197"/>
      <c r="H103" s="1230"/>
      <c r="I103" s="1243"/>
      <c r="J103" s="1230"/>
      <c r="K103" s="1230"/>
      <c r="L103" s="1230"/>
      <c r="M103" s="690"/>
      <c r="N103" s="690"/>
      <c r="O103" s="690"/>
      <c r="Y103" s="631"/>
      <c r="Z103" s="631"/>
      <c r="AA103" s="631"/>
      <c r="AB103" s="631"/>
      <c r="AC103" s="631"/>
    </row>
    <row r="104" spans="2:29" s="48" customFormat="1" x14ac:dyDescent="0.25">
      <c r="B104" s="1386"/>
      <c r="C104" s="1300"/>
      <c r="D104" s="1243"/>
      <c r="E104" s="673"/>
      <c r="F104" s="1243"/>
      <c r="G104" s="1387"/>
      <c r="H104" s="1230"/>
      <c r="I104" s="1243"/>
      <c r="J104" s="1230"/>
      <c r="K104" s="1230"/>
      <c r="L104" s="1230"/>
      <c r="M104" s="690"/>
      <c r="N104" s="690"/>
      <c r="O104" s="690"/>
      <c r="Y104" s="631"/>
      <c r="Z104" s="631"/>
      <c r="AA104" s="631"/>
      <c r="AB104" s="631"/>
      <c r="AC104" s="631"/>
    </row>
    <row r="105" spans="2:29" s="48" customFormat="1" x14ac:dyDescent="0.25">
      <c r="B105" s="1386"/>
      <c r="C105" s="1300"/>
      <c r="D105" s="1243"/>
      <c r="E105" s="673"/>
      <c r="F105" s="1243"/>
      <c r="G105" s="1387"/>
      <c r="H105" s="1230"/>
      <c r="I105" s="1243"/>
      <c r="J105" s="1230"/>
      <c r="K105" s="1230"/>
      <c r="L105" s="1230"/>
      <c r="M105" s="690"/>
      <c r="N105" s="690"/>
      <c r="O105" s="690"/>
      <c r="Y105" s="631"/>
      <c r="Z105" s="631"/>
      <c r="AA105" s="631"/>
      <c r="AB105" s="631"/>
      <c r="AC105" s="631"/>
    </row>
    <row r="106" spans="2:29" s="48" customFormat="1" x14ac:dyDescent="0.25">
      <c r="B106" s="1386"/>
      <c r="C106" s="1300"/>
      <c r="D106" s="1243"/>
      <c r="E106" s="673"/>
      <c r="F106" s="1243"/>
      <c r="G106" s="1387"/>
      <c r="H106" s="1230"/>
      <c r="I106" s="1243"/>
      <c r="J106" s="1230"/>
      <c r="K106" s="1230"/>
      <c r="L106" s="1230"/>
      <c r="M106" s="690"/>
      <c r="N106" s="690"/>
      <c r="O106" s="690"/>
      <c r="Y106" s="631"/>
      <c r="Z106" s="631"/>
      <c r="AA106" s="631"/>
      <c r="AB106" s="631"/>
      <c r="AC106" s="631"/>
    </row>
    <row r="107" spans="2:29" s="48" customFormat="1" x14ac:dyDescent="0.25">
      <c r="B107" s="1386"/>
      <c r="C107" s="1300"/>
      <c r="D107" s="1243"/>
      <c r="E107" s="673"/>
      <c r="F107" s="1243"/>
      <c r="G107" s="1387"/>
      <c r="H107" s="1230"/>
      <c r="I107" s="1243"/>
      <c r="J107" s="1230"/>
      <c r="K107" s="1230"/>
      <c r="L107" s="1230"/>
      <c r="M107" s="690"/>
      <c r="N107" s="690"/>
      <c r="O107" s="690"/>
      <c r="Y107" s="631"/>
      <c r="Z107" s="631"/>
      <c r="AA107" s="631"/>
      <c r="AB107" s="631"/>
      <c r="AC107" s="631"/>
    </row>
    <row r="108" spans="2:29" s="48" customFormat="1" x14ac:dyDescent="0.25">
      <c r="B108" s="1386"/>
      <c r="C108" s="1300"/>
      <c r="D108" s="1243"/>
      <c r="E108" s="673"/>
      <c r="F108" s="1230"/>
      <c r="G108" s="1387"/>
      <c r="H108" s="1230"/>
      <c r="I108" s="1230"/>
      <c r="J108" s="1230"/>
      <c r="K108" s="1230"/>
      <c r="L108" s="1230"/>
      <c r="M108" s="690"/>
      <c r="N108" s="690"/>
      <c r="O108" s="690"/>
      <c r="Y108" s="631"/>
      <c r="Z108" s="631"/>
      <c r="AA108" s="631"/>
      <c r="AB108" s="631"/>
      <c r="AC108" s="631"/>
    </row>
    <row r="109" spans="2:29" s="48" customFormat="1" x14ac:dyDescent="0.25">
      <c r="B109" s="1386"/>
      <c r="C109" s="1300"/>
      <c r="D109" s="1243"/>
      <c r="E109" s="673"/>
      <c r="F109" s="1230"/>
      <c r="G109" s="1387"/>
      <c r="H109" s="1230"/>
      <c r="I109" s="1230"/>
      <c r="J109" s="1230"/>
      <c r="K109" s="1230"/>
      <c r="L109" s="1230"/>
      <c r="M109" s="690"/>
      <c r="N109" s="690"/>
      <c r="O109" s="690"/>
      <c r="Y109" s="631"/>
      <c r="Z109" s="631"/>
      <c r="AA109" s="631"/>
      <c r="AB109" s="631"/>
      <c r="AC109" s="631"/>
    </row>
    <row r="110" spans="2:29" s="48" customFormat="1" x14ac:dyDescent="0.25">
      <c r="B110" s="1386"/>
      <c r="C110" s="1300"/>
      <c r="D110" s="1243"/>
      <c r="E110" s="673"/>
      <c r="F110" s="1230"/>
      <c r="G110" s="1387"/>
      <c r="H110" s="1230"/>
      <c r="I110" s="1230"/>
      <c r="J110" s="1230"/>
      <c r="K110" s="1230"/>
      <c r="L110" s="1230"/>
      <c r="M110" s="690"/>
      <c r="N110" s="690"/>
      <c r="O110" s="690"/>
      <c r="Y110" s="631"/>
      <c r="Z110" s="631"/>
      <c r="AA110" s="631"/>
      <c r="AB110" s="631"/>
      <c r="AC110" s="631"/>
    </row>
    <row r="111" spans="2:29" s="48" customFormat="1" ht="32.25" customHeight="1" x14ac:dyDescent="0.25">
      <c r="B111" s="1386"/>
      <c r="C111" s="1300"/>
      <c r="D111" s="1243"/>
      <c r="E111" s="673"/>
      <c r="F111" s="1230"/>
      <c r="G111" s="1387"/>
      <c r="H111" s="1230"/>
      <c r="I111" s="1230"/>
      <c r="J111" s="1230"/>
      <c r="K111" s="1230"/>
      <c r="L111" s="1230"/>
      <c r="M111" s="690"/>
      <c r="N111" s="690"/>
      <c r="O111" s="690"/>
      <c r="Y111" s="631"/>
      <c r="Z111" s="631"/>
      <c r="AA111" s="631"/>
      <c r="AB111" s="631"/>
      <c r="AC111" s="631"/>
    </row>
    <row r="112" spans="2:29" s="48" customFormat="1" x14ac:dyDescent="0.25">
      <c r="B112" s="1386"/>
      <c r="C112" s="1300"/>
      <c r="D112" s="1243"/>
      <c r="E112" s="673"/>
      <c r="F112" s="1230"/>
      <c r="G112" s="1387"/>
      <c r="H112" s="1230"/>
      <c r="I112" s="1230"/>
      <c r="J112" s="1230"/>
      <c r="K112" s="1230"/>
      <c r="L112" s="1230"/>
      <c r="M112" s="690"/>
      <c r="N112" s="690"/>
      <c r="O112" s="690"/>
      <c r="Y112" s="631"/>
      <c r="Z112" s="631"/>
      <c r="AA112" s="631"/>
      <c r="AB112" s="631"/>
      <c r="AC112" s="631"/>
    </row>
    <row r="113" spans="2:29" s="48" customFormat="1" x14ac:dyDescent="0.25">
      <c r="B113" s="1386"/>
      <c r="C113" s="1300"/>
      <c r="D113" s="1243"/>
      <c r="E113" s="673"/>
      <c r="F113" s="1230"/>
      <c r="G113" s="1387"/>
      <c r="H113" s="1230"/>
      <c r="I113" s="1230"/>
      <c r="J113" s="1230"/>
      <c r="K113" s="1230"/>
      <c r="L113" s="1230"/>
      <c r="M113" s="690"/>
      <c r="N113" s="690"/>
      <c r="O113" s="690"/>
      <c r="Y113" s="631"/>
      <c r="Z113" s="631"/>
      <c r="AA113" s="631"/>
      <c r="AB113" s="631"/>
      <c r="AC113" s="631"/>
    </row>
    <row r="114" spans="2:29" s="48" customFormat="1" x14ac:dyDescent="0.25">
      <c r="B114" s="1386"/>
      <c r="C114" s="1300"/>
      <c r="D114" s="1243"/>
      <c r="E114" s="673"/>
      <c r="F114" s="1230"/>
      <c r="G114" s="1387"/>
      <c r="H114" s="1230"/>
      <c r="I114" s="1230"/>
      <c r="J114" s="1230"/>
      <c r="K114" s="1230"/>
      <c r="L114" s="1230"/>
      <c r="M114" s="690"/>
      <c r="N114" s="690"/>
      <c r="O114" s="690"/>
      <c r="Y114" s="631"/>
      <c r="Z114" s="631"/>
      <c r="AA114" s="631"/>
      <c r="AB114" s="631"/>
      <c r="AC114" s="631"/>
    </row>
    <row r="115" spans="2:29" s="48" customFormat="1" x14ac:dyDescent="0.25">
      <c r="B115" s="1386"/>
      <c r="C115" s="1300"/>
      <c r="D115" s="1243"/>
      <c r="E115" s="673"/>
      <c r="F115" s="1230"/>
      <c r="G115" s="1387"/>
      <c r="H115" s="1230"/>
      <c r="I115" s="1230"/>
      <c r="J115" s="1230"/>
      <c r="K115" s="1230"/>
      <c r="L115" s="1230"/>
      <c r="M115" s="690"/>
      <c r="N115" s="690"/>
      <c r="O115" s="690"/>
      <c r="Y115" s="631"/>
      <c r="Z115" s="631"/>
      <c r="AA115" s="631"/>
      <c r="AB115" s="631"/>
      <c r="AC115" s="631"/>
    </row>
    <row r="116" spans="2:29" s="48" customFormat="1" x14ac:dyDescent="0.25">
      <c r="B116" s="1386"/>
      <c r="C116" s="1300"/>
      <c r="D116" s="1243"/>
      <c r="E116" s="673"/>
      <c r="F116" s="1230"/>
      <c r="G116" s="1387"/>
      <c r="H116" s="1230"/>
      <c r="I116" s="1230"/>
      <c r="J116" s="1230"/>
      <c r="K116" s="1230"/>
      <c r="L116" s="1230"/>
      <c r="M116" s="690"/>
      <c r="N116" s="690"/>
      <c r="O116" s="690"/>
      <c r="Y116" s="631"/>
      <c r="Z116" s="631"/>
      <c r="AA116" s="631"/>
      <c r="AB116" s="631"/>
      <c r="AC116" s="631"/>
    </row>
    <row r="117" spans="2:29" s="48" customFormat="1" x14ac:dyDescent="0.25">
      <c r="B117" s="1386"/>
      <c r="C117" s="1300"/>
      <c r="D117" s="1243"/>
      <c r="E117" s="673"/>
      <c r="F117" s="1230"/>
      <c r="G117" s="1387"/>
      <c r="H117" s="1230"/>
      <c r="I117" s="1230"/>
      <c r="J117" s="1230"/>
      <c r="K117" s="1230"/>
      <c r="L117" s="1230"/>
      <c r="M117" s="690"/>
      <c r="N117" s="690"/>
      <c r="O117" s="690"/>
      <c r="Y117" s="631"/>
      <c r="Z117" s="631"/>
      <c r="AA117" s="631"/>
      <c r="AB117" s="631"/>
      <c r="AC117" s="631"/>
    </row>
    <row r="118" spans="2:29" s="48" customFormat="1" x14ac:dyDescent="0.25">
      <c r="B118" s="1386"/>
      <c r="C118" s="1300"/>
      <c r="D118" s="1243"/>
      <c r="E118" s="673"/>
      <c r="F118" s="1230"/>
      <c r="G118" s="1387"/>
      <c r="H118" s="1230"/>
      <c r="I118" s="1230"/>
      <c r="J118" s="1230"/>
      <c r="K118" s="1230"/>
      <c r="L118" s="1230"/>
      <c r="M118" s="690"/>
      <c r="N118" s="690"/>
      <c r="O118" s="690"/>
      <c r="Y118" s="631"/>
      <c r="Z118" s="631"/>
      <c r="AA118" s="631"/>
      <c r="AB118" s="631"/>
      <c r="AC118" s="631"/>
    </row>
    <row r="119" spans="2:29" s="48" customFormat="1" x14ac:dyDescent="0.25">
      <c r="B119" s="1386"/>
      <c r="C119" s="1300"/>
      <c r="D119" s="1243"/>
      <c r="E119" s="673"/>
      <c r="F119" s="1230"/>
      <c r="G119" s="1387"/>
      <c r="H119" s="1230"/>
      <c r="I119" s="1230"/>
      <c r="J119" s="1230"/>
      <c r="K119" s="1230"/>
      <c r="L119" s="1230"/>
      <c r="M119" s="690"/>
      <c r="N119" s="690"/>
      <c r="O119" s="690"/>
      <c r="Y119" s="631"/>
      <c r="Z119" s="631"/>
      <c r="AA119" s="631"/>
      <c r="AB119" s="631"/>
      <c r="AC119" s="631"/>
    </row>
    <row r="120" spans="2:29" s="48" customFormat="1" x14ac:dyDescent="0.25">
      <c r="B120" s="1386"/>
      <c r="C120" s="1300"/>
      <c r="D120" s="1243"/>
      <c r="E120" s="673"/>
      <c r="F120" s="1230"/>
      <c r="G120" s="1387"/>
      <c r="H120" s="1230"/>
      <c r="I120" s="1230"/>
      <c r="J120" s="1230"/>
      <c r="K120" s="1230"/>
      <c r="L120" s="1230"/>
      <c r="M120" s="690"/>
      <c r="N120" s="690"/>
      <c r="O120" s="690"/>
      <c r="Y120" s="631"/>
      <c r="Z120" s="631"/>
      <c r="AA120" s="631"/>
      <c r="AB120" s="631"/>
      <c r="AC120" s="631"/>
    </row>
    <row r="121" spans="2:29" s="48" customFormat="1" x14ac:dyDescent="0.25">
      <c r="B121" s="1386"/>
      <c r="C121" s="1300"/>
      <c r="D121" s="1243"/>
      <c r="E121" s="673"/>
      <c r="F121" s="1230"/>
      <c r="G121" s="1387"/>
      <c r="H121" s="1230"/>
      <c r="I121" s="1230"/>
      <c r="J121" s="1230"/>
      <c r="K121" s="1230"/>
      <c r="L121" s="1230"/>
      <c r="M121" s="690"/>
      <c r="N121" s="690"/>
      <c r="O121" s="690"/>
      <c r="Y121" s="631"/>
      <c r="Z121" s="631"/>
      <c r="AA121" s="631"/>
      <c r="AB121" s="631"/>
      <c r="AC121" s="631"/>
    </row>
    <row r="122" spans="2:29" s="48" customFormat="1" x14ac:dyDescent="0.25">
      <c r="B122" s="1386"/>
      <c r="C122" s="1300"/>
      <c r="D122" s="1243"/>
      <c r="E122" s="673"/>
      <c r="F122" s="1230"/>
      <c r="G122" s="1387"/>
      <c r="H122" s="1230"/>
      <c r="I122" s="1230"/>
      <c r="J122" s="1230"/>
      <c r="K122" s="1230"/>
      <c r="L122" s="1230"/>
      <c r="M122" s="690"/>
      <c r="N122" s="690"/>
      <c r="O122" s="690"/>
      <c r="Y122" s="631"/>
      <c r="Z122" s="631"/>
      <c r="AA122" s="631"/>
      <c r="AB122" s="631"/>
      <c r="AC122" s="631"/>
    </row>
    <row r="123" spans="2:29" s="48" customFormat="1" x14ac:dyDescent="0.25">
      <c r="B123" s="1386"/>
      <c r="C123" s="1300"/>
      <c r="D123" s="1243"/>
      <c r="E123" s="673"/>
      <c r="F123" s="1230"/>
      <c r="G123" s="1387"/>
      <c r="H123" s="1230"/>
      <c r="I123" s="1230"/>
      <c r="J123" s="1230"/>
      <c r="K123" s="1230"/>
      <c r="L123" s="1230"/>
      <c r="M123" s="690"/>
      <c r="N123" s="690"/>
      <c r="O123" s="690"/>
      <c r="Y123" s="631"/>
      <c r="Z123" s="631"/>
      <c r="AA123" s="631"/>
      <c r="AB123" s="631"/>
      <c r="AC123" s="631"/>
    </row>
    <row r="124" spans="2:29" s="48" customFormat="1" x14ac:dyDescent="0.25">
      <c r="B124" s="1386"/>
      <c r="C124" s="1300"/>
      <c r="D124" s="1243"/>
      <c r="E124" s="673"/>
      <c r="F124" s="1230"/>
      <c r="G124" s="1387"/>
      <c r="H124" s="1230"/>
      <c r="I124" s="1230"/>
      <c r="J124" s="1230"/>
      <c r="K124" s="1230"/>
      <c r="L124" s="1230"/>
      <c r="M124" s="690"/>
      <c r="N124" s="690"/>
      <c r="O124" s="690"/>
    </row>
    <row r="125" spans="2:29" s="48" customFormat="1" x14ac:dyDescent="0.25">
      <c r="B125" s="1386"/>
      <c r="C125" s="1300"/>
      <c r="D125" s="1243"/>
      <c r="E125" s="673"/>
      <c r="F125" s="1230"/>
      <c r="G125" s="1387"/>
      <c r="H125" s="1230"/>
      <c r="I125" s="1230"/>
      <c r="J125" s="1230"/>
      <c r="K125" s="1230"/>
      <c r="L125" s="1230"/>
      <c r="M125" s="690"/>
      <c r="N125" s="690"/>
      <c r="O125" s="690"/>
    </row>
    <row r="126" spans="2:29" s="48" customFormat="1" x14ac:dyDescent="0.25">
      <c r="B126" s="1386"/>
      <c r="C126" s="1300"/>
      <c r="D126" s="1243"/>
      <c r="E126" s="673"/>
      <c r="F126" s="1230"/>
      <c r="G126" s="1387"/>
      <c r="H126" s="1230"/>
      <c r="I126" s="1230"/>
      <c r="J126" s="1230"/>
      <c r="K126" s="1230"/>
      <c r="L126" s="1230"/>
      <c r="M126" s="690"/>
      <c r="N126" s="690"/>
      <c r="O126" s="690"/>
    </row>
    <row r="127" spans="2:29" s="48" customFormat="1" x14ac:dyDescent="0.25">
      <c r="B127" s="1386"/>
      <c r="C127" s="1300"/>
      <c r="D127" s="1243"/>
      <c r="E127" s="673"/>
      <c r="F127" s="1230"/>
      <c r="G127" s="1387"/>
      <c r="H127" s="1230"/>
      <c r="I127" s="1230"/>
      <c r="J127" s="1230"/>
      <c r="K127" s="1230"/>
      <c r="L127" s="1230"/>
      <c r="M127" s="690"/>
      <c r="N127" s="690"/>
      <c r="O127" s="690"/>
    </row>
    <row r="128" spans="2:29" s="48" customFormat="1" x14ac:dyDescent="0.25">
      <c r="B128" s="1386"/>
      <c r="C128" s="1300"/>
      <c r="D128" s="1243"/>
      <c r="E128" s="673"/>
      <c r="F128" s="1230"/>
      <c r="G128" s="1387"/>
      <c r="H128" s="1230"/>
      <c r="I128" s="1230"/>
      <c r="J128" s="1230"/>
      <c r="K128" s="1230"/>
      <c r="L128" s="1230"/>
      <c r="M128" s="690"/>
      <c r="N128" s="690"/>
      <c r="O128" s="690"/>
    </row>
    <row r="129" spans="2:15" s="48" customFormat="1" x14ac:dyDescent="0.25">
      <c r="B129" s="1386"/>
      <c r="C129" s="1300"/>
      <c r="D129" s="1243"/>
      <c r="E129" s="673"/>
      <c r="F129" s="1230"/>
      <c r="G129" s="1387"/>
      <c r="H129" s="1230"/>
      <c r="I129" s="1230"/>
      <c r="J129" s="1230"/>
      <c r="K129" s="1230"/>
      <c r="L129" s="1230"/>
      <c r="M129" s="690"/>
      <c r="N129" s="690"/>
      <c r="O129" s="690"/>
    </row>
    <row r="130" spans="2:15" s="48" customFormat="1" x14ac:dyDescent="0.25">
      <c r="B130" s="1386"/>
      <c r="C130" s="1300"/>
      <c r="D130" s="1243"/>
      <c r="E130" s="673"/>
      <c r="F130" s="1230"/>
      <c r="G130" s="1387"/>
      <c r="H130" s="1230"/>
      <c r="I130" s="1230"/>
      <c r="J130" s="1230"/>
      <c r="K130" s="1230"/>
      <c r="L130" s="1230"/>
      <c r="M130" s="690"/>
      <c r="N130" s="690"/>
      <c r="O130" s="690"/>
    </row>
    <row r="131" spans="2:15" s="48" customFormat="1" x14ac:dyDescent="0.25">
      <c r="B131" s="1386"/>
      <c r="C131" s="1300"/>
      <c r="D131" s="1243"/>
      <c r="E131" s="673"/>
      <c r="F131" s="1230"/>
      <c r="G131" s="1387"/>
      <c r="H131" s="1230"/>
      <c r="I131" s="1230"/>
      <c r="J131" s="1230"/>
      <c r="K131" s="1230"/>
      <c r="L131" s="1230"/>
      <c r="M131" s="690"/>
      <c r="N131" s="690"/>
      <c r="O131" s="690"/>
    </row>
    <row r="132" spans="2:15" s="48" customFormat="1" ht="16.5" customHeight="1" x14ac:dyDescent="0.25">
      <c r="B132" s="1386"/>
      <c r="C132" s="1300"/>
      <c r="D132" s="1243"/>
      <c r="E132" s="673"/>
      <c r="F132" s="1230"/>
      <c r="G132" s="1197"/>
      <c r="H132" s="1230"/>
      <c r="I132" s="1230"/>
      <c r="J132" s="1230"/>
      <c r="K132" s="1230"/>
      <c r="L132" s="1230"/>
      <c r="M132" s="690"/>
      <c r="N132" s="690"/>
      <c r="O132" s="690"/>
    </row>
    <row r="133" spans="2:15" s="48" customFormat="1" ht="16.5" customHeight="1" x14ac:dyDescent="0.25">
      <c r="B133" s="1386"/>
      <c r="C133" s="1300"/>
      <c r="D133" s="1243"/>
      <c r="E133" s="673"/>
      <c r="F133" s="1230"/>
      <c r="G133" s="1197"/>
      <c r="H133" s="1230"/>
      <c r="I133" s="1230"/>
      <c r="J133" s="1230"/>
      <c r="K133" s="1230"/>
      <c r="L133" s="1230"/>
      <c r="M133" s="690"/>
      <c r="N133" s="690"/>
      <c r="O133" s="690"/>
    </row>
    <row r="134" spans="2:15" s="48" customFormat="1" ht="16.5" customHeight="1" x14ac:dyDescent="0.25">
      <c r="B134" s="1386"/>
      <c r="C134" s="1300"/>
      <c r="D134" s="1243"/>
      <c r="E134" s="673"/>
      <c r="F134" s="1230"/>
      <c r="G134" s="1197"/>
      <c r="H134" s="1230"/>
      <c r="I134" s="1230"/>
      <c r="J134" s="1230"/>
      <c r="K134" s="1230"/>
      <c r="L134" s="1230"/>
      <c r="M134" s="690"/>
      <c r="N134" s="690"/>
      <c r="O134" s="690"/>
    </row>
    <row r="135" spans="2:15" s="48" customFormat="1" ht="16.5" customHeight="1" x14ac:dyDescent="0.25">
      <c r="B135" s="1386"/>
      <c r="C135" s="1300"/>
      <c r="D135" s="1243"/>
      <c r="E135" s="673"/>
      <c r="F135" s="1230"/>
      <c r="G135" s="1197"/>
      <c r="H135" s="1230"/>
      <c r="I135" s="1230"/>
      <c r="J135" s="1230"/>
      <c r="K135" s="1230"/>
      <c r="L135" s="1230"/>
      <c r="M135" s="690"/>
      <c r="N135" s="690"/>
      <c r="O135" s="690"/>
    </row>
    <row r="136" spans="2:15" s="48" customFormat="1" ht="16.5" customHeight="1" x14ac:dyDescent="0.25">
      <c r="B136" s="1386"/>
      <c r="C136" s="1300"/>
      <c r="D136" s="1243"/>
      <c r="E136" s="673"/>
      <c r="F136" s="1243"/>
      <c r="G136" s="1197"/>
      <c r="H136" s="1230"/>
      <c r="I136" s="1230"/>
      <c r="J136" s="1300"/>
      <c r="K136" s="1243"/>
      <c r="L136" s="1300"/>
      <c r="M136" s="690"/>
      <c r="N136" s="690"/>
      <c r="O136" s="690"/>
    </row>
    <row r="137" spans="2:15" s="48" customFormat="1" ht="16.5" customHeight="1" x14ac:dyDescent="0.25">
      <c r="B137" s="1386"/>
      <c r="C137" s="1300"/>
      <c r="D137" s="1243"/>
      <c r="E137" s="673"/>
      <c r="F137" s="1243"/>
      <c r="G137" s="1197"/>
      <c r="H137" s="1230"/>
      <c r="I137" s="1230"/>
      <c r="J137" s="1300"/>
      <c r="K137" s="1243"/>
      <c r="L137" s="1300"/>
      <c r="M137" s="690"/>
      <c r="N137" s="690"/>
      <c r="O137" s="690"/>
    </row>
    <row r="138" spans="2:15" s="48" customFormat="1" x14ac:dyDescent="0.25">
      <c r="B138" s="1386"/>
      <c r="C138" s="1300"/>
      <c r="D138" s="1243"/>
      <c r="E138" s="673"/>
      <c r="F138" s="1243"/>
      <c r="G138" s="1197"/>
      <c r="H138" s="1230"/>
      <c r="I138" s="1230"/>
      <c r="J138" s="1300"/>
      <c r="K138" s="1243"/>
      <c r="L138" s="1300"/>
      <c r="M138" s="690"/>
      <c r="N138" s="690"/>
      <c r="O138" s="690"/>
    </row>
    <row r="139" spans="2:15" s="48" customFormat="1" x14ac:dyDescent="0.25">
      <c r="B139" s="1386"/>
      <c r="C139" s="1300"/>
      <c r="D139" s="1243"/>
      <c r="E139" s="673"/>
      <c r="F139" s="1243"/>
      <c r="G139" s="1197"/>
      <c r="H139" s="1230"/>
      <c r="I139" s="1230"/>
      <c r="J139" s="1300"/>
      <c r="K139" s="1243"/>
      <c r="L139" s="1300"/>
      <c r="M139" s="690"/>
      <c r="N139" s="690"/>
      <c r="O139" s="690"/>
    </row>
    <row r="140" spans="2:15" s="48" customFormat="1" ht="16.5" customHeight="1" x14ac:dyDescent="0.25">
      <c r="B140" s="1386"/>
      <c r="C140" s="1300"/>
      <c r="D140" s="1243"/>
      <c r="E140" s="673"/>
      <c r="F140" s="1243"/>
      <c r="G140" s="1197"/>
      <c r="H140" s="1230"/>
      <c r="I140" s="1230"/>
      <c r="J140" s="1300"/>
      <c r="K140" s="1243"/>
      <c r="L140" s="1300"/>
      <c r="M140" s="690"/>
      <c r="N140" s="690"/>
      <c r="O140" s="690"/>
    </row>
    <row r="141" spans="2:15" s="48" customFormat="1" x14ac:dyDescent="0.25">
      <c r="B141" s="1386"/>
      <c r="C141" s="1300"/>
      <c r="D141" s="1243"/>
      <c r="E141" s="673"/>
      <c r="F141" s="1243"/>
      <c r="G141" s="1197"/>
      <c r="H141" s="1230"/>
      <c r="I141" s="1230"/>
      <c r="J141" s="1300"/>
      <c r="K141" s="1243"/>
      <c r="L141" s="1300"/>
      <c r="M141" s="690"/>
      <c r="N141" s="690"/>
      <c r="O141" s="690"/>
    </row>
    <row r="142" spans="2:15" s="48" customFormat="1" x14ac:dyDescent="0.25">
      <c r="B142" s="1386"/>
      <c r="C142" s="1300"/>
      <c r="D142" s="1243"/>
      <c r="E142" s="673"/>
      <c r="F142" s="1243"/>
      <c r="G142" s="1197"/>
      <c r="H142" s="1230"/>
      <c r="I142" s="1230"/>
      <c r="J142" s="1300"/>
      <c r="K142" s="1243"/>
      <c r="L142" s="1300"/>
      <c r="M142" s="690"/>
      <c r="N142" s="690"/>
      <c r="O142" s="690"/>
    </row>
    <row r="143" spans="2:15" s="48" customFormat="1" x14ac:dyDescent="0.25">
      <c r="B143" s="1386"/>
      <c r="C143" s="1300"/>
      <c r="D143" s="1243"/>
      <c r="E143" s="673"/>
      <c r="F143" s="1243"/>
      <c r="G143" s="1197"/>
      <c r="H143" s="1230"/>
      <c r="I143" s="1230"/>
      <c r="J143" s="1300"/>
      <c r="K143" s="1243"/>
      <c r="L143" s="1300"/>
      <c r="M143" s="690"/>
      <c r="N143" s="690"/>
      <c r="O143" s="690"/>
    </row>
    <row r="144" spans="2:15" s="48" customFormat="1" x14ac:dyDescent="0.25">
      <c r="B144" s="1386"/>
      <c r="C144" s="1300"/>
      <c r="D144" s="1243"/>
      <c r="E144" s="673"/>
      <c r="F144" s="1243"/>
      <c r="G144" s="1197"/>
      <c r="H144" s="1230"/>
      <c r="I144" s="1230"/>
      <c r="J144" s="1300"/>
      <c r="K144" s="1243"/>
      <c r="L144" s="1300"/>
      <c r="M144" s="690"/>
      <c r="N144" s="690"/>
      <c r="O144" s="690"/>
    </row>
    <row r="145" spans="2:15" s="48" customFormat="1" x14ac:dyDescent="0.25">
      <c r="B145" s="1386"/>
      <c r="C145" s="1300"/>
      <c r="D145" s="1243"/>
      <c r="E145" s="673"/>
      <c r="F145" s="1243"/>
      <c r="G145" s="1197"/>
      <c r="H145" s="1230"/>
      <c r="I145" s="1230"/>
      <c r="J145" s="1300"/>
      <c r="K145" s="1243"/>
      <c r="L145" s="1300"/>
      <c r="M145" s="690"/>
      <c r="N145" s="690"/>
      <c r="O145" s="690"/>
    </row>
    <row r="146" spans="2:15" s="48" customFormat="1" x14ac:dyDescent="0.25">
      <c r="B146" s="1386"/>
      <c r="C146" s="1300"/>
      <c r="D146" s="1243"/>
      <c r="E146" s="673"/>
      <c r="F146" s="1243"/>
      <c r="G146" s="1197"/>
      <c r="H146" s="1230"/>
      <c r="I146" s="1230"/>
      <c r="J146" s="1300"/>
      <c r="K146" s="1243"/>
      <c r="L146" s="1300"/>
      <c r="M146" s="690"/>
      <c r="N146" s="690"/>
      <c r="O146" s="690"/>
    </row>
    <row r="147" spans="2:15" s="48" customFormat="1" x14ac:dyDescent="0.25">
      <c r="B147" s="1386"/>
      <c r="C147" s="1300"/>
      <c r="D147" s="1243"/>
      <c r="E147" s="673"/>
      <c r="F147" s="1243"/>
      <c r="G147" s="1197"/>
      <c r="H147" s="1230"/>
      <c r="I147" s="1230"/>
      <c r="J147" s="1300"/>
      <c r="K147" s="1243"/>
      <c r="L147" s="1300"/>
      <c r="M147" s="690"/>
      <c r="N147" s="690"/>
      <c r="O147" s="690"/>
    </row>
    <row r="148" spans="2:15" s="48" customFormat="1" x14ac:dyDescent="0.25">
      <c r="B148" s="1386"/>
      <c r="C148" s="1300"/>
      <c r="D148" s="1243"/>
      <c r="E148" s="673"/>
      <c r="F148" s="1243"/>
      <c r="G148" s="1197"/>
      <c r="H148" s="1230"/>
      <c r="I148" s="1230"/>
      <c r="J148" s="1300"/>
      <c r="K148" s="1243"/>
      <c r="L148" s="1300"/>
      <c r="M148" s="690"/>
      <c r="N148" s="690"/>
      <c r="O148" s="690"/>
    </row>
    <row r="149" spans="2:15" s="48" customFormat="1" x14ac:dyDescent="0.25">
      <c r="B149" s="1386"/>
      <c r="C149" s="1300"/>
      <c r="D149" s="1243"/>
      <c r="E149" s="673"/>
      <c r="F149" s="1243"/>
      <c r="G149" s="1197"/>
      <c r="H149" s="1230"/>
      <c r="I149" s="1230"/>
      <c r="J149" s="1300"/>
      <c r="K149" s="1243"/>
      <c r="L149" s="1300"/>
      <c r="M149" s="690"/>
      <c r="N149" s="690"/>
      <c r="O149" s="690"/>
    </row>
    <row r="150" spans="2:15" s="48" customFormat="1" x14ac:dyDescent="0.25">
      <c r="B150" s="1386"/>
      <c r="C150" s="1300"/>
      <c r="D150" s="1243"/>
      <c r="E150" s="673"/>
      <c r="F150" s="1243"/>
      <c r="G150" s="1197"/>
      <c r="H150" s="1230"/>
      <c r="I150" s="1230"/>
      <c r="J150" s="1300"/>
      <c r="K150" s="1243"/>
      <c r="L150" s="1300"/>
      <c r="M150" s="690"/>
      <c r="N150" s="690"/>
      <c r="O150" s="690"/>
    </row>
    <row r="151" spans="2:15" s="48" customFormat="1" x14ac:dyDescent="0.25">
      <c r="B151" s="1386"/>
      <c r="C151" s="1300"/>
      <c r="D151" s="1243"/>
      <c r="E151" s="673"/>
      <c r="F151" s="1243"/>
      <c r="G151" s="1197"/>
      <c r="H151" s="1230"/>
      <c r="I151" s="1230"/>
      <c r="J151" s="1300"/>
      <c r="K151" s="1243"/>
      <c r="L151" s="1300"/>
      <c r="M151" s="690"/>
      <c r="N151" s="690"/>
      <c r="O151" s="690"/>
    </row>
    <row r="152" spans="2:15" s="48" customFormat="1" x14ac:dyDescent="0.25">
      <c r="B152" s="1386"/>
      <c r="C152" s="1300"/>
      <c r="D152" s="1243"/>
      <c r="E152" s="673"/>
      <c r="F152" s="1243"/>
      <c r="G152" s="1197"/>
      <c r="H152" s="1230"/>
      <c r="I152" s="1230"/>
      <c r="J152" s="1300"/>
      <c r="K152" s="1243"/>
      <c r="L152" s="1300"/>
      <c r="M152" s="690"/>
      <c r="N152" s="690"/>
      <c r="O152" s="690"/>
    </row>
    <row r="153" spans="2:15" s="48" customFormat="1" x14ac:dyDescent="0.25">
      <c r="B153" s="1386"/>
      <c r="C153" s="1300"/>
      <c r="D153" s="1243"/>
      <c r="E153" s="673"/>
      <c r="F153" s="1243"/>
      <c r="G153" s="1197"/>
      <c r="H153" s="1230"/>
      <c r="I153" s="1230"/>
      <c r="J153" s="1300"/>
      <c r="K153" s="1243"/>
      <c r="L153" s="1300"/>
      <c r="M153" s="690"/>
      <c r="N153" s="690"/>
      <c r="O153" s="690"/>
    </row>
    <row r="154" spans="2:15" s="48" customFormat="1" x14ac:dyDescent="0.25">
      <c r="B154" s="1386"/>
      <c r="C154" s="1300"/>
      <c r="D154" s="1243"/>
      <c r="E154" s="673"/>
      <c r="F154" s="1243"/>
      <c r="G154" s="1197"/>
      <c r="H154" s="1230"/>
      <c r="I154" s="1230"/>
      <c r="J154" s="1300"/>
      <c r="K154" s="1243"/>
      <c r="L154" s="1300"/>
      <c r="M154" s="690"/>
      <c r="N154" s="690"/>
      <c r="O154" s="690"/>
    </row>
    <row r="155" spans="2:15" s="48" customFormat="1" x14ac:dyDescent="0.25">
      <c r="B155" s="1386"/>
      <c r="C155" s="1300"/>
      <c r="D155" s="1243"/>
      <c r="E155" s="673"/>
      <c r="F155" s="1243"/>
      <c r="G155" s="1197"/>
      <c r="H155" s="1230"/>
      <c r="I155" s="1230"/>
      <c r="J155" s="1300"/>
      <c r="K155" s="1243"/>
      <c r="L155" s="1300"/>
      <c r="M155" s="690"/>
      <c r="N155" s="690"/>
      <c r="O155" s="690"/>
    </row>
    <row r="156" spans="2:15" s="48" customFormat="1" x14ac:dyDescent="0.25">
      <c r="B156" s="1386"/>
      <c r="C156" s="1300"/>
      <c r="D156" s="1243"/>
      <c r="E156" s="673"/>
      <c r="F156" s="1243"/>
      <c r="G156" s="1197"/>
      <c r="H156" s="1230"/>
      <c r="I156" s="1230"/>
      <c r="J156" s="1300"/>
      <c r="K156" s="1243"/>
      <c r="L156" s="1300"/>
      <c r="M156" s="690"/>
      <c r="N156" s="690"/>
      <c r="O156" s="690"/>
    </row>
    <row r="157" spans="2:15" s="48" customFormat="1" x14ac:dyDescent="0.25">
      <c r="B157" s="1386"/>
      <c r="C157" s="1300"/>
      <c r="D157" s="1243"/>
      <c r="E157" s="673"/>
      <c r="F157" s="1243"/>
      <c r="G157" s="1197"/>
      <c r="H157" s="1230"/>
      <c r="I157" s="1230"/>
      <c r="J157" s="1300"/>
      <c r="K157" s="1243"/>
      <c r="L157" s="1300"/>
      <c r="M157" s="690"/>
      <c r="N157" s="690"/>
      <c r="O157" s="690"/>
    </row>
    <row r="158" spans="2:15" s="48" customFormat="1" x14ac:dyDescent="0.25">
      <c r="B158" s="1386"/>
      <c r="C158" s="1300"/>
      <c r="D158" s="1243"/>
      <c r="E158" s="673"/>
      <c r="F158" s="1243"/>
      <c r="G158" s="1197"/>
      <c r="H158" s="1230"/>
      <c r="I158" s="1230"/>
      <c r="J158" s="1300"/>
      <c r="K158" s="1243"/>
      <c r="L158" s="1300"/>
      <c r="M158" s="690"/>
      <c r="N158" s="690"/>
      <c r="O158" s="690"/>
    </row>
    <row r="159" spans="2:15" s="48" customFormat="1" x14ac:dyDescent="0.25">
      <c r="B159" s="1386"/>
      <c r="C159" s="1300"/>
      <c r="D159" s="1243"/>
      <c r="E159" s="673"/>
      <c r="F159" s="1243"/>
      <c r="G159" s="1197"/>
      <c r="H159" s="1230"/>
      <c r="I159" s="1230"/>
      <c r="J159" s="1300"/>
      <c r="K159" s="1243"/>
      <c r="L159" s="1300"/>
      <c r="M159" s="690"/>
      <c r="N159" s="690"/>
      <c r="O159" s="690"/>
    </row>
    <row r="160" spans="2:15" s="48" customFormat="1" x14ac:dyDescent="0.25">
      <c r="B160" s="1386"/>
      <c r="C160" s="1300"/>
      <c r="D160" s="1243"/>
      <c r="E160" s="673"/>
      <c r="F160" s="1243"/>
      <c r="G160" s="1197"/>
      <c r="H160" s="1230"/>
      <c r="I160" s="1230"/>
      <c r="J160" s="1300"/>
      <c r="K160" s="1243"/>
      <c r="L160" s="1300"/>
      <c r="M160" s="690"/>
      <c r="N160" s="690"/>
      <c r="O160" s="690"/>
    </row>
    <row r="161" spans="2:15" s="48" customFormat="1" x14ac:dyDescent="0.25">
      <c r="B161" s="1386"/>
      <c r="C161" s="1300"/>
      <c r="D161" s="1243"/>
      <c r="E161" s="673"/>
      <c r="F161" s="1243"/>
      <c r="G161" s="1197"/>
      <c r="H161" s="1230"/>
      <c r="I161" s="1230"/>
      <c r="J161" s="1300"/>
      <c r="K161" s="1243"/>
      <c r="L161" s="1300"/>
      <c r="M161" s="690"/>
      <c r="N161" s="690"/>
      <c r="O161" s="690"/>
    </row>
    <row r="162" spans="2:15" s="48" customFormat="1" x14ac:dyDescent="0.25">
      <c r="B162" s="1386"/>
      <c r="C162" s="1300"/>
      <c r="D162" s="1243"/>
      <c r="E162" s="673"/>
      <c r="F162" s="1243"/>
      <c r="G162" s="1197"/>
      <c r="H162" s="1230"/>
      <c r="I162" s="1230"/>
      <c r="J162" s="1300"/>
      <c r="K162" s="1243"/>
      <c r="L162" s="1300"/>
      <c r="M162" s="690"/>
      <c r="N162" s="690"/>
      <c r="O162" s="690"/>
    </row>
    <row r="163" spans="2:15" s="48" customFormat="1" x14ac:dyDescent="0.25">
      <c r="B163" s="1386"/>
      <c r="C163" s="1300"/>
      <c r="D163" s="1243"/>
      <c r="E163" s="673"/>
      <c r="F163" s="1243"/>
      <c r="G163" s="1197"/>
      <c r="H163" s="1230"/>
      <c r="I163" s="1230"/>
      <c r="J163" s="1300"/>
      <c r="K163" s="1243"/>
      <c r="L163" s="1300"/>
      <c r="M163" s="690"/>
      <c r="N163" s="690"/>
      <c r="O163" s="690"/>
    </row>
    <row r="164" spans="2:15" s="48" customFormat="1" x14ac:dyDescent="0.25">
      <c r="B164" s="1386"/>
      <c r="C164" s="1300"/>
      <c r="D164" s="1243"/>
      <c r="E164" s="673"/>
      <c r="F164" s="1243"/>
      <c r="G164" s="1197"/>
      <c r="H164" s="1230"/>
      <c r="I164" s="1230"/>
      <c r="J164" s="1300"/>
      <c r="K164" s="1243"/>
      <c r="L164" s="1300"/>
      <c r="M164" s="690"/>
      <c r="N164" s="690"/>
      <c r="O164" s="690"/>
    </row>
    <row r="165" spans="2:15" s="48" customFormat="1" x14ac:dyDescent="0.25">
      <c r="B165" s="1386"/>
      <c r="C165" s="1300"/>
      <c r="D165" s="1243"/>
      <c r="E165" s="673"/>
      <c r="F165" s="1243"/>
      <c r="G165" s="1197"/>
      <c r="H165" s="1230"/>
      <c r="I165" s="1230"/>
      <c r="J165" s="1300"/>
      <c r="K165" s="1243"/>
      <c r="L165" s="1300"/>
      <c r="M165" s="690"/>
      <c r="N165" s="690"/>
      <c r="O165" s="690"/>
    </row>
    <row r="166" spans="2:15" s="48" customFormat="1" ht="18.75" customHeight="1" x14ac:dyDescent="0.25">
      <c r="B166" s="1386"/>
      <c r="C166" s="1300"/>
      <c r="D166" s="1243"/>
      <c r="E166" s="673"/>
      <c r="F166" s="1243"/>
      <c r="G166" s="1197"/>
      <c r="H166" s="1230"/>
      <c r="I166" s="1230"/>
      <c r="J166" s="1300"/>
      <c r="K166" s="1243"/>
      <c r="L166" s="1300"/>
      <c r="M166" s="690"/>
      <c r="N166" s="690"/>
      <c r="O166" s="690"/>
    </row>
    <row r="167" spans="2:15" s="48" customFormat="1" ht="40.5" customHeight="1" x14ac:dyDescent="0.25">
      <c r="B167" s="1386"/>
      <c r="C167" s="1300"/>
      <c r="D167" s="1243"/>
      <c r="E167" s="673"/>
      <c r="F167" s="1243"/>
      <c r="G167" s="1197"/>
      <c r="H167" s="1230"/>
      <c r="I167" s="1230"/>
      <c r="J167" s="1300"/>
      <c r="K167" s="1243"/>
      <c r="L167" s="1300"/>
      <c r="M167" s="690"/>
      <c r="N167" s="690"/>
      <c r="O167" s="690"/>
    </row>
    <row r="168" spans="2:15" s="48" customFormat="1" ht="19.5" customHeight="1" x14ac:dyDescent="0.25">
      <c r="B168" s="1378"/>
      <c r="C168" s="1300"/>
      <c r="D168" s="1243"/>
      <c r="E168" s="673"/>
      <c r="F168" s="1243"/>
      <c r="G168" s="1197"/>
      <c r="H168" s="1230"/>
      <c r="I168" s="1230"/>
      <c r="J168" s="1300"/>
      <c r="K168" s="1243"/>
      <c r="L168" s="1300"/>
      <c r="M168" s="690"/>
      <c r="N168" s="690"/>
      <c r="O168" s="690"/>
    </row>
    <row r="169" spans="2:15" s="48" customFormat="1" ht="14.25" customHeight="1" x14ac:dyDescent="0.25">
      <c r="B169" s="1378"/>
      <c r="C169" s="1300"/>
      <c r="D169" s="1243"/>
      <c r="E169" s="673"/>
      <c r="F169" s="1243"/>
      <c r="G169" s="1197"/>
      <c r="H169" s="1230"/>
      <c r="I169" s="1230"/>
      <c r="J169" s="1300"/>
      <c r="K169" s="1243"/>
      <c r="L169" s="1300"/>
      <c r="M169" s="690"/>
      <c r="N169" s="690"/>
      <c r="O169" s="690"/>
    </row>
    <row r="170" spans="2:15" s="48" customFormat="1" ht="15.75" customHeight="1" x14ac:dyDescent="0.25">
      <c r="B170" s="1378"/>
      <c r="C170" s="1300"/>
      <c r="D170" s="1243"/>
      <c r="E170" s="673"/>
      <c r="F170" s="1243"/>
      <c r="G170" s="1197"/>
      <c r="H170" s="1230"/>
      <c r="I170" s="1230"/>
      <c r="J170" s="1300"/>
      <c r="K170" s="1243"/>
      <c r="L170" s="1300"/>
      <c r="M170" s="690"/>
      <c r="N170" s="690"/>
      <c r="O170" s="690"/>
    </row>
    <row r="171" spans="2:15" s="48" customFormat="1" ht="17.25" customHeight="1" x14ac:dyDescent="0.25">
      <c r="B171" s="1378"/>
      <c r="C171" s="1300"/>
      <c r="D171" s="1243"/>
      <c r="E171" s="673"/>
      <c r="F171" s="1243"/>
      <c r="G171" s="1197"/>
      <c r="H171" s="1230"/>
      <c r="I171" s="1230"/>
      <c r="J171" s="1300"/>
      <c r="K171" s="1243"/>
      <c r="L171" s="1300"/>
      <c r="M171" s="690"/>
      <c r="N171" s="690"/>
      <c r="O171" s="690"/>
    </row>
    <row r="172" spans="2:15" s="48" customFormat="1" ht="15.75" customHeight="1" x14ac:dyDescent="0.25">
      <c r="B172" s="1378"/>
      <c r="C172" s="1300"/>
      <c r="D172" s="1243"/>
      <c r="E172" s="673"/>
      <c r="F172" s="1243"/>
      <c r="G172" s="1197"/>
      <c r="H172" s="1230"/>
      <c r="I172" s="1230"/>
      <c r="J172" s="1300"/>
      <c r="K172" s="1243"/>
      <c r="L172" s="1300"/>
      <c r="M172" s="690"/>
      <c r="N172" s="690"/>
      <c r="O172" s="690"/>
    </row>
    <row r="173" spans="2:15" s="48" customFormat="1" ht="15.75" customHeight="1" x14ac:dyDescent="0.25">
      <c r="B173" s="1378"/>
      <c r="C173" s="1300"/>
      <c r="D173" s="1243"/>
      <c r="E173" s="673"/>
      <c r="F173" s="1243"/>
      <c r="G173" s="1197"/>
      <c r="H173" s="1230"/>
      <c r="I173" s="1230"/>
      <c r="J173" s="1300"/>
      <c r="K173" s="1243"/>
      <c r="L173" s="1300"/>
      <c r="M173" s="690"/>
      <c r="N173" s="690"/>
      <c r="O173" s="690"/>
    </row>
    <row r="174" spans="2:15" s="48" customFormat="1" ht="17.25" customHeight="1" x14ac:dyDescent="0.25">
      <c r="B174" s="1378"/>
      <c r="C174" s="1300"/>
      <c r="D174" s="1243"/>
      <c r="E174" s="673"/>
      <c r="F174" s="1243"/>
      <c r="G174" s="1197"/>
      <c r="H174" s="1230"/>
      <c r="I174" s="1230"/>
      <c r="J174" s="1300"/>
      <c r="K174" s="1243"/>
      <c r="L174" s="1300"/>
      <c r="M174" s="690"/>
      <c r="N174" s="690"/>
      <c r="O174" s="690"/>
    </row>
    <row r="175" spans="2:15" s="48" customFormat="1" ht="16.5" customHeight="1" x14ac:dyDescent="0.25">
      <c r="B175" s="1378"/>
      <c r="C175" s="1300"/>
      <c r="D175" s="1243"/>
      <c r="E175" s="673"/>
      <c r="F175" s="1243"/>
      <c r="G175" s="1197"/>
      <c r="H175" s="1230"/>
      <c r="I175" s="1230"/>
      <c r="J175" s="1300"/>
      <c r="K175" s="1243"/>
      <c r="L175" s="1300"/>
      <c r="M175" s="690"/>
      <c r="N175" s="690"/>
      <c r="O175" s="690"/>
    </row>
    <row r="176" spans="2:15" s="48" customFormat="1" ht="18.75" customHeight="1" x14ac:dyDescent="0.25">
      <c r="B176" s="1378"/>
      <c r="C176" s="1300"/>
      <c r="D176" s="1243"/>
      <c r="E176" s="673"/>
      <c r="F176" s="1243"/>
      <c r="G176" s="1197"/>
      <c r="H176" s="1230"/>
      <c r="I176" s="1230"/>
      <c r="J176" s="1300"/>
      <c r="K176" s="1243"/>
      <c r="L176" s="1300"/>
      <c r="M176" s="690"/>
      <c r="N176" s="690"/>
      <c r="O176" s="690"/>
    </row>
    <row r="177" spans="2:15" s="48" customFormat="1" ht="19.5" customHeight="1" x14ac:dyDescent="0.25">
      <c r="B177" s="1378"/>
      <c r="C177" s="1300"/>
      <c r="D177" s="1243"/>
      <c r="E177" s="673"/>
      <c r="F177" s="1243"/>
      <c r="G177" s="1197"/>
      <c r="H177" s="1230"/>
      <c r="I177" s="1230"/>
      <c r="J177" s="1300"/>
      <c r="K177" s="1243"/>
      <c r="L177" s="1300"/>
      <c r="M177" s="690"/>
      <c r="N177" s="690"/>
      <c r="O177" s="690"/>
    </row>
    <row r="178" spans="2:15" s="48" customFormat="1" ht="18.75" customHeight="1" x14ac:dyDescent="0.25">
      <c r="B178" s="1378"/>
      <c r="C178" s="1300"/>
      <c r="D178" s="1243"/>
      <c r="E178" s="673"/>
      <c r="F178" s="1243"/>
      <c r="G178" s="1197"/>
      <c r="H178" s="1230"/>
      <c r="I178" s="1230"/>
      <c r="J178" s="1300"/>
      <c r="K178" s="1243"/>
      <c r="L178" s="1300"/>
      <c r="M178" s="690"/>
      <c r="N178" s="690"/>
      <c r="O178" s="690"/>
    </row>
    <row r="179" spans="2:15" s="48" customFormat="1" ht="18" customHeight="1" x14ac:dyDescent="0.25">
      <c r="B179" s="1378"/>
      <c r="C179" s="1300"/>
      <c r="D179" s="1243"/>
      <c r="E179" s="673"/>
      <c r="F179" s="1243"/>
      <c r="G179" s="1197"/>
      <c r="H179" s="1230"/>
      <c r="I179" s="1230"/>
      <c r="J179" s="1300"/>
      <c r="K179" s="1243"/>
      <c r="L179" s="1300"/>
      <c r="M179" s="690"/>
      <c r="N179" s="690"/>
      <c r="O179" s="690"/>
    </row>
    <row r="180" spans="2:15" s="48" customFormat="1" ht="16.5" customHeight="1" x14ac:dyDescent="0.25">
      <c r="B180" s="1378"/>
      <c r="C180" s="1300"/>
      <c r="D180" s="1243"/>
      <c r="E180" s="673"/>
      <c r="F180" s="1243"/>
      <c r="G180" s="1197"/>
      <c r="H180" s="1230"/>
      <c r="I180" s="1230"/>
      <c r="J180" s="1300"/>
      <c r="K180" s="1243"/>
      <c r="L180" s="1300"/>
      <c r="M180" s="690"/>
      <c r="N180" s="690"/>
      <c r="O180" s="690"/>
    </row>
    <row r="181" spans="2:15" s="48" customFormat="1" ht="14.25" customHeight="1" x14ac:dyDescent="0.25">
      <c r="B181" s="1378"/>
      <c r="C181" s="1300"/>
      <c r="D181" s="1243"/>
      <c r="E181" s="673"/>
      <c r="F181" s="1243"/>
      <c r="G181" s="1197"/>
      <c r="H181" s="1230"/>
      <c r="I181" s="1230"/>
      <c r="J181" s="1300"/>
      <c r="K181" s="1243"/>
      <c r="L181" s="1300"/>
      <c r="M181" s="690"/>
      <c r="N181" s="690"/>
      <c r="O181" s="690"/>
    </row>
    <row r="182" spans="2:15" s="48" customFormat="1" ht="15" customHeight="1" x14ac:dyDescent="0.25">
      <c r="B182" s="1378"/>
      <c r="C182" s="1300"/>
      <c r="D182" s="1243"/>
      <c r="E182" s="673"/>
      <c r="F182" s="1243"/>
      <c r="G182" s="1197"/>
      <c r="H182" s="1230"/>
      <c r="I182" s="1230"/>
      <c r="J182" s="1300"/>
      <c r="K182" s="1243"/>
      <c r="L182" s="1300"/>
      <c r="M182" s="690"/>
      <c r="N182" s="690"/>
      <c r="O182" s="690"/>
    </row>
    <row r="183" spans="2:15" s="48" customFormat="1" ht="14.25" customHeight="1" x14ac:dyDescent="0.25">
      <c r="B183" s="1378"/>
      <c r="C183" s="1300"/>
      <c r="D183" s="1243"/>
      <c r="E183" s="673"/>
      <c r="F183" s="1243"/>
      <c r="G183" s="1197"/>
      <c r="H183" s="1230"/>
      <c r="I183" s="1230"/>
      <c r="J183" s="1300"/>
      <c r="K183" s="1243"/>
      <c r="L183" s="1300"/>
      <c r="M183" s="690"/>
      <c r="N183" s="690"/>
      <c r="O183" s="690"/>
    </row>
    <row r="184" spans="2:15" s="48" customFormat="1" ht="15.75" customHeight="1" x14ac:dyDescent="0.25">
      <c r="B184" s="1378"/>
      <c r="C184" s="1300"/>
      <c r="D184" s="1243"/>
      <c r="E184" s="673"/>
      <c r="F184" s="1243"/>
      <c r="G184" s="1197"/>
      <c r="H184" s="1230"/>
      <c r="I184" s="1230"/>
      <c r="J184" s="1300"/>
      <c r="K184" s="1243"/>
      <c r="L184" s="1300"/>
      <c r="M184" s="690"/>
      <c r="N184" s="690"/>
      <c r="O184" s="690"/>
    </row>
    <row r="185" spans="2:15" s="48" customFormat="1" ht="19.5" customHeight="1" x14ac:dyDescent="0.25">
      <c r="B185" s="1378"/>
      <c r="C185" s="1300"/>
      <c r="D185" s="1243"/>
      <c r="E185" s="673"/>
      <c r="F185" s="1243"/>
      <c r="G185" s="1197"/>
      <c r="H185" s="1230"/>
      <c r="I185" s="1230"/>
      <c r="J185" s="1300"/>
      <c r="K185" s="1243"/>
      <c r="L185" s="1300"/>
      <c r="M185" s="690"/>
      <c r="N185" s="690"/>
      <c r="O185" s="690"/>
    </row>
    <row r="186" spans="2:15" s="48" customFormat="1" ht="18" customHeight="1" x14ac:dyDescent="0.25">
      <c r="B186" s="1378"/>
      <c r="C186" s="1300"/>
      <c r="D186" s="1243"/>
      <c r="E186" s="673"/>
      <c r="F186" s="1243"/>
      <c r="G186" s="1197"/>
      <c r="H186" s="1230"/>
      <c r="I186" s="1230"/>
      <c r="J186" s="1300"/>
      <c r="K186" s="1243"/>
      <c r="L186" s="1300"/>
      <c r="M186" s="690"/>
      <c r="N186" s="690"/>
      <c r="O186" s="690"/>
    </row>
    <row r="187" spans="2:15" s="48" customFormat="1" ht="20.25" customHeight="1" x14ac:dyDescent="0.25">
      <c r="B187" s="1378"/>
      <c r="C187" s="1300"/>
      <c r="D187" s="1243"/>
      <c r="E187" s="673"/>
      <c r="F187" s="1243"/>
      <c r="G187" s="1197"/>
      <c r="H187" s="1230"/>
      <c r="I187" s="1230"/>
      <c r="J187" s="1300"/>
      <c r="K187" s="1243"/>
      <c r="L187" s="1300"/>
      <c r="M187" s="690"/>
      <c r="N187" s="690"/>
      <c r="O187" s="690"/>
    </row>
    <row r="188" spans="2:15" s="48" customFormat="1" ht="18.75" customHeight="1" x14ac:dyDescent="0.25">
      <c r="B188" s="1378"/>
      <c r="C188" s="1300"/>
      <c r="D188" s="1243"/>
      <c r="E188" s="673"/>
      <c r="F188" s="1243"/>
      <c r="G188" s="1197"/>
      <c r="H188" s="1230"/>
      <c r="I188" s="1230"/>
      <c r="J188" s="1300"/>
      <c r="K188" s="1243"/>
      <c r="L188" s="1300"/>
      <c r="M188" s="690"/>
      <c r="N188" s="690"/>
      <c r="O188" s="690"/>
    </row>
    <row r="189" spans="2:15" s="48" customFormat="1" ht="14.25" customHeight="1" x14ac:dyDescent="0.25">
      <c r="B189" s="1378"/>
      <c r="C189" s="1300"/>
      <c r="D189" s="1243"/>
      <c r="E189" s="673"/>
      <c r="F189" s="1243"/>
      <c r="G189" s="1197"/>
      <c r="H189" s="1230"/>
      <c r="I189" s="1230"/>
      <c r="J189" s="1300"/>
      <c r="K189" s="1243"/>
      <c r="L189" s="1300"/>
      <c r="M189" s="690"/>
      <c r="N189" s="690"/>
      <c r="O189" s="690"/>
    </row>
    <row r="190" spans="2:15" s="48" customFormat="1" ht="15.75" customHeight="1" x14ac:dyDescent="0.25">
      <c r="B190" s="1378"/>
      <c r="C190" s="1300"/>
      <c r="D190" s="1243"/>
      <c r="E190" s="673"/>
      <c r="F190" s="1243"/>
      <c r="G190" s="1197"/>
      <c r="H190" s="1230"/>
      <c r="I190" s="1230"/>
      <c r="J190" s="1300"/>
      <c r="K190" s="1243"/>
      <c r="L190" s="1300"/>
      <c r="M190" s="690"/>
      <c r="N190" s="690"/>
      <c r="O190" s="690"/>
    </row>
    <row r="191" spans="2:15" s="48" customFormat="1" ht="15" customHeight="1" x14ac:dyDescent="0.25">
      <c r="B191" s="1378"/>
      <c r="C191" s="1300"/>
      <c r="D191" s="1243"/>
      <c r="E191" s="673"/>
      <c r="F191" s="1243"/>
      <c r="G191" s="1197"/>
      <c r="H191" s="1230"/>
      <c r="I191" s="1230"/>
      <c r="J191" s="1300"/>
      <c r="K191" s="1243"/>
      <c r="L191" s="1300"/>
      <c r="M191" s="690"/>
      <c r="N191" s="690"/>
      <c r="O191" s="690"/>
    </row>
    <row r="192" spans="2:15" s="48" customFormat="1" ht="16.5" customHeight="1" x14ac:dyDescent="0.25">
      <c r="B192" s="1378"/>
      <c r="C192" s="1300"/>
      <c r="D192" s="1243"/>
      <c r="E192" s="673"/>
      <c r="F192" s="1243"/>
      <c r="G192" s="1197"/>
      <c r="H192" s="1230"/>
      <c r="I192" s="1230"/>
      <c r="J192" s="1300"/>
      <c r="K192" s="1243"/>
      <c r="L192" s="1300"/>
      <c r="M192" s="690"/>
      <c r="N192" s="690"/>
      <c r="O192" s="690"/>
    </row>
    <row r="193" spans="2:27" s="48" customFormat="1" ht="14.25" customHeight="1" x14ac:dyDescent="0.25">
      <c r="B193" s="1378"/>
      <c r="C193" s="1300"/>
      <c r="D193" s="1243"/>
      <c r="E193" s="673"/>
      <c r="F193" s="1243"/>
      <c r="G193" s="1197"/>
      <c r="H193" s="1230"/>
      <c r="I193" s="1230"/>
      <c r="J193" s="1300"/>
      <c r="K193" s="1243"/>
      <c r="L193" s="1300"/>
      <c r="M193" s="690"/>
      <c r="N193" s="690"/>
      <c r="O193" s="690"/>
      <c r="AA193" s="690"/>
    </row>
    <row r="194" spans="2:27" s="48" customFormat="1" ht="14.25" customHeight="1" x14ac:dyDescent="0.25">
      <c r="B194" s="1378"/>
      <c r="C194" s="1300"/>
      <c r="D194" s="1243"/>
      <c r="E194" s="673"/>
      <c r="F194" s="1243"/>
      <c r="G194" s="1197"/>
      <c r="H194" s="1230"/>
      <c r="I194" s="1230"/>
      <c r="J194" s="1300"/>
      <c r="K194" s="1243"/>
      <c r="L194" s="1300"/>
      <c r="M194" s="690"/>
      <c r="N194" s="690"/>
      <c r="O194" s="690"/>
    </row>
    <row r="195" spans="2:27" s="48" customFormat="1" ht="15" customHeight="1" x14ac:dyDescent="0.25">
      <c r="B195" s="1378"/>
      <c r="C195" s="1300"/>
      <c r="D195" s="1243"/>
      <c r="E195" s="673"/>
      <c r="F195" s="1243"/>
      <c r="G195" s="1197"/>
      <c r="H195" s="1230"/>
      <c r="I195" s="1230"/>
      <c r="J195" s="1300"/>
      <c r="K195" s="1243"/>
      <c r="L195" s="1300"/>
      <c r="M195" s="690"/>
      <c r="N195" s="690"/>
      <c r="O195" s="690"/>
    </row>
    <row r="196" spans="2:27" s="48" customFormat="1" ht="16.5" customHeight="1" x14ac:dyDescent="0.25">
      <c r="B196" s="1378"/>
      <c r="C196" s="1300"/>
      <c r="D196" s="1243"/>
      <c r="E196" s="673"/>
      <c r="F196" s="1243"/>
      <c r="G196" s="1197"/>
      <c r="H196" s="1230"/>
      <c r="I196" s="1230"/>
      <c r="J196" s="1300"/>
      <c r="K196" s="1243"/>
      <c r="L196" s="1300"/>
      <c r="M196" s="690"/>
      <c r="N196" s="690"/>
      <c r="O196" s="690"/>
    </row>
    <row r="197" spans="2:27" s="48" customFormat="1" ht="14.25" customHeight="1" x14ac:dyDescent="0.25">
      <c r="B197" s="1378"/>
      <c r="C197" s="1300"/>
      <c r="D197" s="1243"/>
      <c r="E197" s="673"/>
      <c r="F197" s="1243"/>
      <c r="G197" s="1197"/>
      <c r="H197" s="1230"/>
      <c r="I197" s="1230"/>
      <c r="J197" s="1300"/>
      <c r="K197" s="1243"/>
      <c r="L197" s="1300"/>
      <c r="M197" s="690"/>
      <c r="N197" s="690"/>
      <c r="O197" s="690"/>
    </row>
    <row r="198" spans="2:27" s="48" customFormat="1" ht="15" customHeight="1" x14ac:dyDescent="0.25">
      <c r="B198" s="1378"/>
      <c r="C198" s="1300"/>
      <c r="D198" s="1243"/>
      <c r="E198" s="673"/>
      <c r="F198" s="1243"/>
      <c r="G198" s="1197"/>
      <c r="H198" s="1230"/>
      <c r="I198" s="1230"/>
      <c r="J198" s="1300"/>
      <c r="K198" s="1243"/>
      <c r="L198" s="1300"/>
      <c r="M198" s="690"/>
      <c r="N198" s="690"/>
      <c r="O198" s="690"/>
    </row>
    <row r="199" spans="2:27" s="48" customFormat="1" ht="15" customHeight="1" x14ac:dyDescent="0.25">
      <c r="B199" s="1378"/>
      <c r="C199" s="1300"/>
      <c r="D199" s="1243"/>
      <c r="E199" s="673"/>
      <c r="F199" s="1243"/>
      <c r="G199" s="1197"/>
      <c r="H199" s="1230"/>
      <c r="I199" s="1230"/>
      <c r="J199" s="1300"/>
      <c r="K199" s="1243"/>
      <c r="L199" s="1300"/>
      <c r="M199" s="690"/>
      <c r="N199" s="690"/>
      <c r="O199" s="690"/>
    </row>
    <row r="200" spans="2:27" s="48" customFormat="1" ht="15" customHeight="1" x14ac:dyDescent="0.25">
      <c r="B200" s="1386"/>
      <c r="C200" s="1300"/>
      <c r="D200" s="1243"/>
      <c r="E200" s="673"/>
      <c r="F200" s="1243"/>
      <c r="G200" s="1197"/>
      <c r="H200" s="1230"/>
      <c r="I200" s="1230"/>
      <c r="J200" s="1300"/>
      <c r="K200" s="1243"/>
      <c r="L200" s="1300"/>
      <c r="M200" s="690"/>
      <c r="N200" s="690"/>
      <c r="O200" s="690"/>
    </row>
    <row r="201" spans="2:27" s="48" customFormat="1" ht="15" customHeight="1" x14ac:dyDescent="0.25">
      <c r="B201" s="1386"/>
      <c r="C201" s="1300"/>
      <c r="D201" s="1243"/>
      <c r="E201" s="673"/>
      <c r="F201" s="1243"/>
      <c r="G201" s="1197"/>
      <c r="H201" s="1230"/>
      <c r="I201" s="1230"/>
      <c r="J201" s="1300"/>
      <c r="K201" s="1243"/>
      <c r="L201" s="1300"/>
      <c r="M201" s="690"/>
      <c r="N201" s="690"/>
      <c r="O201" s="690"/>
    </row>
    <row r="202" spans="2:27" s="48" customFormat="1" ht="15" customHeight="1" x14ac:dyDescent="0.25">
      <c r="B202" s="1386"/>
      <c r="C202" s="1300"/>
      <c r="D202" s="1243"/>
      <c r="E202" s="673"/>
      <c r="F202" s="1243"/>
      <c r="G202" s="1197"/>
      <c r="H202" s="1230"/>
      <c r="I202" s="1230"/>
      <c r="J202" s="1300"/>
      <c r="K202" s="1243"/>
      <c r="L202" s="1300"/>
      <c r="M202" s="690"/>
      <c r="N202" s="690"/>
      <c r="O202" s="690"/>
    </row>
    <row r="203" spans="2:27" s="48" customFormat="1" ht="15" customHeight="1" x14ac:dyDescent="0.25">
      <c r="B203" s="1386"/>
      <c r="C203" s="1300"/>
      <c r="D203" s="1243"/>
      <c r="E203" s="673"/>
      <c r="F203" s="1243"/>
      <c r="G203" s="1197"/>
      <c r="H203" s="1230"/>
      <c r="I203" s="1230"/>
      <c r="J203" s="1300"/>
      <c r="K203" s="1243"/>
      <c r="L203" s="1300"/>
      <c r="M203" s="690"/>
      <c r="N203" s="690"/>
      <c r="O203" s="690"/>
    </row>
    <row r="204" spans="2:27" s="48" customFormat="1" ht="15" customHeight="1" x14ac:dyDescent="0.25">
      <c r="B204" s="1386"/>
      <c r="C204" s="1300"/>
      <c r="D204" s="1243"/>
      <c r="E204" s="673"/>
      <c r="F204" s="1243"/>
      <c r="G204" s="1197"/>
      <c r="H204" s="1230"/>
      <c r="I204" s="1230"/>
      <c r="J204" s="1300"/>
      <c r="K204" s="1243"/>
      <c r="L204" s="1300"/>
      <c r="M204" s="690"/>
      <c r="N204" s="690"/>
      <c r="O204" s="690"/>
    </row>
    <row r="205" spans="2:27" s="48" customFormat="1" ht="15" customHeight="1" x14ac:dyDescent="0.25">
      <c r="B205" s="1386"/>
      <c r="C205" s="1300"/>
      <c r="D205" s="1243"/>
      <c r="E205" s="673"/>
      <c r="F205" s="1243"/>
      <c r="G205" s="1197"/>
      <c r="H205" s="1230"/>
      <c r="I205" s="1230"/>
      <c r="J205" s="1300"/>
      <c r="K205" s="1243"/>
      <c r="L205" s="1300"/>
      <c r="M205" s="690"/>
      <c r="N205" s="690"/>
      <c r="O205" s="690"/>
    </row>
    <row r="206" spans="2:27" s="48" customFormat="1" ht="15" customHeight="1" x14ac:dyDescent="0.25">
      <c r="B206" s="1386"/>
      <c r="C206" s="1300"/>
      <c r="D206" s="1243"/>
      <c r="E206" s="673"/>
      <c r="F206" s="1243"/>
      <c r="G206" s="1197"/>
      <c r="H206" s="1230"/>
      <c r="I206" s="1230"/>
      <c r="J206" s="1300"/>
      <c r="K206" s="1243"/>
      <c r="L206" s="1300"/>
      <c r="M206" s="690"/>
      <c r="N206" s="690"/>
      <c r="O206" s="690"/>
    </row>
    <row r="207" spans="2:27" s="48" customFormat="1" ht="15" customHeight="1" x14ac:dyDescent="0.25">
      <c r="B207" s="1386"/>
      <c r="C207" s="1300"/>
      <c r="D207" s="1243"/>
      <c r="E207" s="673"/>
      <c r="F207" s="1243"/>
      <c r="G207" s="1197"/>
      <c r="H207" s="1230"/>
      <c r="I207" s="1230"/>
      <c r="J207" s="1300"/>
      <c r="K207" s="1243"/>
      <c r="L207" s="1300"/>
      <c r="M207" s="690"/>
      <c r="N207" s="690"/>
      <c r="O207" s="690"/>
    </row>
    <row r="208" spans="2:27" s="48" customFormat="1" ht="15" customHeight="1" x14ac:dyDescent="0.25">
      <c r="B208" s="1386"/>
      <c r="C208" s="1300"/>
      <c r="D208" s="1243"/>
      <c r="E208" s="673"/>
      <c r="F208" s="1243"/>
      <c r="G208" s="1197"/>
      <c r="H208" s="1230"/>
      <c r="I208" s="1230"/>
      <c r="J208" s="1300"/>
      <c r="K208" s="1243"/>
      <c r="L208" s="1300"/>
      <c r="M208" s="690"/>
      <c r="N208" s="690"/>
      <c r="O208" s="690"/>
    </row>
    <row r="209" spans="2:15" s="48" customFormat="1" ht="15" customHeight="1" x14ac:dyDescent="0.25">
      <c r="B209" s="1386"/>
      <c r="C209" s="1300"/>
      <c r="D209" s="1243"/>
      <c r="E209" s="673"/>
      <c r="F209" s="1243"/>
      <c r="G209" s="1197"/>
      <c r="H209" s="1230"/>
      <c r="I209" s="1230"/>
      <c r="J209" s="1300"/>
      <c r="K209" s="1243"/>
      <c r="L209" s="1300"/>
      <c r="M209" s="690"/>
      <c r="N209" s="690"/>
      <c r="O209" s="690"/>
    </row>
    <row r="210" spans="2:15" s="48" customFormat="1" ht="15" customHeight="1" x14ac:dyDescent="0.25">
      <c r="B210" s="1386"/>
      <c r="C210" s="1300"/>
      <c r="D210" s="1243"/>
      <c r="E210" s="673"/>
      <c r="F210" s="1243"/>
      <c r="G210" s="1197"/>
      <c r="H210" s="1230"/>
      <c r="I210" s="1230"/>
      <c r="J210" s="1300"/>
      <c r="K210" s="1243"/>
      <c r="L210" s="1300"/>
      <c r="M210" s="690"/>
      <c r="N210" s="690"/>
      <c r="O210" s="690"/>
    </row>
    <row r="211" spans="2:15" s="48" customFormat="1" ht="15" customHeight="1" x14ac:dyDescent="0.25">
      <c r="B211" s="1386"/>
      <c r="C211" s="1300"/>
      <c r="D211" s="1243"/>
      <c r="E211" s="673"/>
      <c r="F211" s="1243"/>
      <c r="G211" s="1197"/>
      <c r="H211" s="1230"/>
      <c r="I211" s="1230"/>
      <c r="J211" s="1300"/>
      <c r="K211" s="1243"/>
      <c r="L211" s="1300"/>
      <c r="M211" s="690"/>
      <c r="N211" s="690"/>
      <c r="O211" s="690"/>
    </row>
    <row r="212" spans="2:15" s="48" customFormat="1" ht="23.25" customHeight="1" x14ac:dyDescent="0.25">
      <c r="B212" s="1386"/>
      <c r="C212" s="1300"/>
      <c r="D212" s="1243"/>
      <c r="E212" s="673"/>
      <c r="F212" s="1243"/>
      <c r="G212" s="1197"/>
      <c r="H212" s="1230"/>
      <c r="I212" s="1230"/>
      <c r="J212" s="1300"/>
      <c r="K212" s="1243"/>
      <c r="L212" s="1300"/>
      <c r="M212" s="690"/>
      <c r="N212" s="690"/>
      <c r="O212" s="690"/>
    </row>
    <row r="213" spans="2:15" s="48" customFormat="1" ht="18.75" customHeight="1" x14ac:dyDescent="0.25">
      <c r="B213" s="1386"/>
      <c r="C213" s="1300"/>
      <c r="D213" s="1243"/>
      <c r="E213" s="673"/>
      <c r="F213" s="1243"/>
      <c r="G213" s="1197"/>
      <c r="H213" s="1230"/>
      <c r="I213" s="1230"/>
      <c r="J213" s="1300"/>
      <c r="K213" s="1243"/>
      <c r="L213" s="1300"/>
      <c r="M213" s="690"/>
      <c r="N213" s="690"/>
      <c r="O213" s="690"/>
    </row>
    <row r="214" spans="2:15" s="48" customFormat="1" ht="23.25" customHeight="1" x14ac:dyDescent="0.25">
      <c r="B214" s="1386"/>
      <c r="C214" s="1300"/>
      <c r="D214" s="1243"/>
      <c r="E214" s="673"/>
      <c r="F214" s="1243"/>
      <c r="G214" s="1197"/>
      <c r="H214" s="1230"/>
      <c r="I214" s="1230"/>
      <c r="J214" s="1300"/>
      <c r="K214" s="1243"/>
      <c r="L214" s="1300"/>
      <c r="M214" s="690"/>
      <c r="N214" s="690"/>
      <c r="O214" s="690"/>
    </row>
    <row r="215" spans="2:15" s="48" customFormat="1" ht="17.25" customHeight="1" x14ac:dyDescent="0.25">
      <c r="B215" s="1386"/>
      <c r="C215" s="1300"/>
      <c r="D215" s="1243"/>
      <c r="E215" s="673"/>
      <c r="F215" s="1243"/>
      <c r="G215" s="1197"/>
      <c r="H215" s="1230"/>
      <c r="I215" s="1230"/>
      <c r="J215" s="1300"/>
      <c r="K215" s="1243"/>
      <c r="L215" s="1300"/>
      <c r="M215" s="690"/>
      <c r="N215" s="690"/>
      <c r="O215" s="690"/>
    </row>
    <row r="216" spans="2:15" s="48" customFormat="1" ht="20.25" customHeight="1" x14ac:dyDescent="0.25">
      <c r="B216" s="1386"/>
      <c r="C216" s="1300"/>
      <c r="D216" s="1243"/>
      <c r="E216" s="673"/>
      <c r="F216" s="1243"/>
      <c r="G216" s="1197"/>
      <c r="H216" s="1230"/>
      <c r="I216" s="1230"/>
      <c r="J216" s="1300"/>
      <c r="K216" s="1243"/>
      <c r="L216" s="1300"/>
      <c r="M216" s="690"/>
      <c r="N216" s="690"/>
      <c r="O216" s="690"/>
    </row>
    <row r="217" spans="2:15" s="48" customFormat="1" ht="18.75" customHeight="1" x14ac:dyDescent="0.25">
      <c r="B217" s="1386"/>
      <c r="C217" s="1300"/>
      <c r="D217" s="1243"/>
      <c r="E217" s="673"/>
      <c r="F217" s="1243"/>
      <c r="G217" s="1197"/>
      <c r="H217" s="1230"/>
      <c r="I217" s="1230"/>
      <c r="J217" s="1300"/>
      <c r="K217" s="1243"/>
      <c r="L217" s="1300"/>
      <c r="M217" s="690"/>
      <c r="N217" s="690"/>
      <c r="O217" s="690"/>
    </row>
    <row r="218" spans="2:15" s="48" customFormat="1" ht="16.5" customHeight="1" x14ac:dyDescent="0.25">
      <c r="B218" s="1386"/>
      <c r="C218" s="1300"/>
      <c r="D218" s="1243"/>
      <c r="E218" s="673"/>
      <c r="F218" s="1243"/>
      <c r="G218" s="1197"/>
      <c r="H218" s="1230"/>
      <c r="I218" s="1230"/>
      <c r="J218" s="1300"/>
      <c r="K218" s="1243"/>
      <c r="L218" s="1300"/>
      <c r="M218" s="690"/>
      <c r="N218" s="690"/>
      <c r="O218" s="690"/>
    </row>
    <row r="219" spans="2:15" s="48" customFormat="1" ht="15.75" customHeight="1" x14ac:dyDescent="0.25">
      <c r="B219" s="1386"/>
      <c r="C219" s="1300"/>
      <c r="D219" s="1243"/>
      <c r="E219" s="673"/>
      <c r="F219" s="1243"/>
      <c r="G219" s="1197"/>
      <c r="H219" s="1230"/>
      <c r="I219" s="1230"/>
      <c r="J219" s="1300"/>
      <c r="K219" s="1243"/>
      <c r="L219" s="1300"/>
      <c r="M219" s="690"/>
      <c r="N219" s="690"/>
      <c r="O219" s="690"/>
    </row>
    <row r="220" spans="2:15" s="48" customFormat="1" ht="15.75" customHeight="1" x14ac:dyDescent="0.25">
      <c r="B220" s="1386"/>
      <c r="C220" s="1300"/>
      <c r="D220" s="1243"/>
      <c r="E220" s="673"/>
      <c r="F220" s="1243"/>
      <c r="G220" s="1197"/>
      <c r="H220" s="1230"/>
      <c r="I220" s="1230"/>
      <c r="J220" s="1300"/>
      <c r="K220" s="1243"/>
      <c r="L220" s="1300"/>
      <c r="M220" s="690"/>
      <c r="N220" s="690"/>
      <c r="O220" s="690"/>
    </row>
    <row r="221" spans="2:15" s="48" customFormat="1" ht="15.75" customHeight="1" x14ac:dyDescent="0.25">
      <c r="B221" s="1386"/>
      <c r="C221" s="1300"/>
      <c r="D221" s="1243"/>
      <c r="E221" s="673"/>
      <c r="F221" s="1243"/>
      <c r="G221" s="1197"/>
      <c r="H221" s="1230"/>
      <c r="I221" s="1230"/>
      <c r="J221" s="1300"/>
      <c r="K221" s="1243"/>
      <c r="L221" s="1300"/>
      <c r="M221" s="690"/>
      <c r="N221" s="690"/>
      <c r="O221" s="690"/>
    </row>
    <row r="222" spans="2:15" s="48" customFormat="1" ht="15.75" customHeight="1" x14ac:dyDescent="0.25">
      <c r="B222" s="1386"/>
      <c r="C222" s="1300"/>
      <c r="D222" s="1243"/>
      <c r="E222" s="673"/>
      <c r="F222" s="1243"/>
      <c r="G222" s="1197"/>
      <c r="H222" s="1230"/>
      <c r="I222" s="1230"/>
      <c r="J222" s="1300"/>
      <c r="K222" s="1243"/>
      <c r="L222" s="1300"/>
      <c r="M222" s="690"/>
      <c r="N222" s="690"/>
      <c r="O222" s="690"/>
    </row>
    <row r="223" spans="2:15" s="48" customFormat="1" ht="15.75" customHeight="1" x14ac:dyDescent="0.25">
      <c r="B223" s="1386"/>
      <c r="C223" s="1300"/>
      <c r="D223" s="1243"/>
      <c r="E223" s="673"/>
      <c r="F223" s="1243"/>
      <c r="G223" s="1197"/>
      <c r="H223" s="1230"/>
      <c r="I223" s="1230"/>
      <c r="J223" s="1300"/>
      <c r="K223" s="1243"/>
      <c r="L223" s="1300"/>
      <c r="M223" s="690"/>
      <c r="N223" s="690"/>
      <c r="O223" s="690"/>
    </row>
    <row r="224" spans="2:15" s="48" customFormat="1" ht="15.75" customHeight="1" x14ac:dyDescent="0.25">
      <c r="B224" s="1386"/>
      <c r="C224" s="1300"/>
      <c r="D224" s="1243"/>
      <c r="E224" s="673"/>
      <c r="F224" s="1243"/>
      <c r="G224" s="1197"/>
      <c r="H224" s="1230"/>
      <c r="I224" s="1230"/>
      <c r="J224" s="1300"/>
      <c r="K224" s="1243"/>
      <c r="L224" s="1300"/>
      <c r="M224" s="690"/>
      <c r="N224" s="690"/>
      <c r="O224" s="690"/>
    </row>
    <row r="225" spans="2:15" s="48" customFormat="1" ht="15.75" customHeight="1" x14ac:dyDescent="0.25">
      <c r="B225" s="1386"/>
      <c r="C225" s="1300"/>
      <c r="D225" s="1243"/>
      <c r="E225" s="673"/>
      <c r="F225" s="1243"/>
      <c r="G225" s="1197"/>
      <c r="H225" s="1230"/>
      <c r="I225" s="1230"/>
      <c r="J225" s="1300"/>
      <c r="K225" s="1243"/>
      <c r="L225" s="1300"/>
      <c r="M225" s="690"/>
      <c r="N225" s="690"/>
      <c r="O225" s="690"/>
    </row>
    <row r="226" spans="2:15" s="48" customFormat="1" ht="15.75" customHeight="1" x14ac:dyDescent="0.25">
      <c r="B226" s="1386"/>
      <c r="C226" s="1300"/>
      <c r="D226" s="1243"/>
      <c r="E226" s="673"/>
      <c r="F226" s="1243"/>
      <c r="G226" s="1197"/>
      <c r="H226" s="1230"/>
      <c r="I226" s="1230"/>
      <c r="J226" s="1300"/>
      <c r="K226" s="1243"/>
      <c r="L226" s="1300"/>
      <c r="M226" s="690"/>
      <c r="N226" s="690"/>
      <c r="O226" s="690"/>
    </row>
    <row r="227" spans="2:15" s="48" customFormat="1" ht="15.75" customHeight="1" x14ac:dyDescent="0.25">
      <c r="B227" s="1386"/>
      <c r="C227" s="1300"/>
      <c r="D227" s="1243"/>
      <c r="E227" s="673"/>
      <c r="F227" s="1243"/>
      <c r="G227" s="1197"/>
      <c r="H227" s="1230"/>
      <c r="I227" s="1230"/>
      <c r="J227" s="1300"/>
      <c r="K227" s="1243"/>
      <c r="L227" s="1300"/>
      <c r="M227" s="690"/>
      <c r="N227" s="690"/>
      <c r="O227" s="690"/>
    </row>
    <row r="228" spans="2:15" s="48" customFormat="1" ht="15.75" customHeight="1" x14ac:dyDescent="0.25">
      <c r="B228" s="1386"/>
      <c r="C228" s="1300"/>
      <c r="D228" s="1243"/>
      <c r="E228" s="673"/>
      <c r="F228" s="1243"/>
      <c r="G228" s="1197"/>
      <c r="H228" s="1230"/>
      <c r="I228" s="1230"/>
      <c r="J228" s="1300"/>
      <c r="K228" s="1243"/>
      <c r="L228" s="1300"/>
      <c r="M228" s="690"/>
      <c r="N228" s="690"/>
      <c r="O228" s="690"/>
    </row>
    <row r="229" spans="2:15" s="48" customFormat="1" ht="15.75" customHeight="1" x14ac:dyDescent="0.25">
      <c r="B229" s="1386"/>
      <c r="C229" s="1300"/>
      <c r="D229" s="1243"/>
      <c r="E229" s="673"/>
      <c r="F229" s="1243"/>
      <c r="G229" s="1197"/>
      <c r="H229" s="1230"/>
      <c r="I229" s="1230"/>
      <c r="J229" s="1300"/>
      <c r="K229" s="1243"/>
      <c r="L229" s="1300"/>
      <c r="M229" s="690"/>
      <c r="N229" s="690"/>
      <c r="O229" s="690"/>
    </row>
    <row r="230" spans="2:15" s="48" customFormat="1" ht="15.75" customHeight="1" x14ac:dyDescent="0.25">
      <c r="B230" s="1386"/>
      <c r="C230" s="1300"/>
      <c r="D230" s="1243"/>
      <c r="E230" s="673"/>
      <c r="F230" s="1243"/>
      <c r="G230" s="1197"/>
      <c r="H230" s="1230"/>
      <c r="I230" s="1230"/>
      <c r="J230" s="1300"/>
      <c r="K230" s="1243"/>
      <c r="L230" s="1300"/>
      <c r="M230" s="690"/>
      <c r="N230" s="690"/>
      <c r="O230" s="690"/>
    </row>
    <row r="231" spans="2:15" s="48" customFormat="1" ht="15.75" customHeight="1" x14ac:dyDescent="0.25">
      <c r="B231" s="1386"/>
      <c r="C231" s="1300"/>
      <c r="D231" s="1243"/>
      <c r="E231" s="673"/>
      <c r="F231" s="1243"/>
      <c r="G231" s="1197"/>
      <c r="H231" s="1230"/>
      <c r="I231" s="1230"/>
      <c r="J231" s="1300"/>
      <c r="K231" s="1243"/>
      <c r="L231" s="1300"/>
      <c r="M231" s="690"/>
      <c r="N231" s="690"/>
      <c r="O231" s="690"/>
    </row>
    <row r="232" spans="2:15" s="48" customFormat="1" ht="15.75" customHeight="1" x14ac:dyDescent="0.25">
      <c r="B232" s="1386"/>
      <c r="C232" s="1300"/>
      <c r="D232" s="1243"/>
      <c r="E232" s="673"/>
      <c r="F232" s="1243"/>
      <c r="G232" s="1197"/>
      <c r="H232" s="1230"/>
      <c r="I232" s="1230"/>
      <c r="J232" s="1300"/>
      <c r="K232" s="1243"/>
      <c r="L232" s="1300"/>
      <c r="M232" s="690"/>
      <c r="N232" s="690"/>
      <c r="O232" s="690"/>
    </row>
    <row r="233" spans="2:15" s="48" customFormat="1" ht="15.75" customHeight="1" x14ac:dyDescent="0.25">
      <c r="B233" s="1386"/>
      <c r="C233" s="1300"/>
      <c r="D233" s="1243"/>
      <c r="E233" s="673"/>
      <c r="F233" s="1243"/>
      <c r="G233" s="1197"/>
      <c r="H233" s="1230"/>
      <c r="I233" s="1230"/>
      <c r="J233" s="1300"/>
      <c r="K233" s="1243"/>
      <c r="L233" s="1300"/>
      <c r="M233" s="690"/>
      <c r="N233" s="690"/>
      <c r="O233" s="690"/>
    </row>
    <row r="234" spans="2:15" s="48" customFormat="1" ht="15.75" customHeight="1" x14ac:dyDescent="0.25">
      <c r="B234" s="1386"/>
      <c r="C234" s="1300"/>
      <c r="D234" s="1243"/>
      <c r="E234" s="673"/>
      <c r="F234" s="1243"/>
      <c r="G234" s="1197"/>
      <c r="H234" s="1230"/>
      <c r="I234" s="1230"/>
      <c r="J234" s="1300"/>
      <c r="K234" s="1243"/>
      <c r="L234" s="1300"/>
      <c r="M234" s="690"/>
      <c r="N234" s="690"/>
      <c r="O234" s="690"/>
    </row>
    <row r="235" spans="2:15" s="48" customFormat="1" ht="15.75" customHeight="1" x14ac:dyDescent="0.25">
      <c r="B235" s="1386"/>
      <c r="C235" s="1300"/>
      <c r="D235" s="1243"/>
      <c r="E235" s="673"/>
      <c r="F235" s="1243"/>
      <c r="G235" s="1197"/>
      <c r="H235" s="1230"/>
      <c r="I235" s="1230"/>
      <c r="J235" s="1300"/>
      <c r="K235" s="1243"/>
      <c r="L235" s="1300"/>
      <c r="M235" s="690"/>
      <c r="N235" s="690"/>
      <c r="O235" s="690"/>
    </row>
    <row r="236" spans="2:15" s="48" customFormat="1" ht="15.75" customHeight="1" x14ac:dyDescent="0.25">
      <c r="B236" s="1386"/>
      <c r="C236" s="1300"/>
      <c r="D236" s="1243"/>
      <c r="E236" s="673"/>
      <c r="F236" s="1243"/>
      <c r="G236" s="1197"/>
      <c r="H236" s="1230"/>
      <c r="I236" s="1230"/>
      <c r="J236" s="1300"/>
      <c r="K236" s="1243"/>
      <c r="L236" s="1300"/>
      <c r="M236" s="690"/>
      <c r="N236" s="690"/>
      <c r="O236" s="690"/>
    </row>
    <row r="237" spans="2:15" s="48" customFormat="1" ht="15.75" customHeight="1" x14ac:dyDescent="0.25">
      <c r="B237" s="1386"/>
      <c r="C237" s="1300"/>
      <c r="D237" s="1243"/>
      <c r="E237" s="673"/>
      <c r="F237" s="1243"/>
      <c r="G237" s="1197"/>
      <c r="H237" s="1230"/>
      <c r="I237" s="1230"/>
      <c r="J237" s="1300"/>
      <c r="K237" s="1243"/>
      <c r="L237" s="1300"/>
      <c r="M237" s="690"/>
      <c r="N237" s="690"/>
      <c r="O237" s="690"/>
    </row>
    <row r="238" spans="2:15" s="48" customFormat="1" ht="15.75" customHeight="1" x14ac:dyDescent="0.25">
      <c r="B238" s="1386"/>
      <c r="C238" s="1300"/>
      <c r="D238" s="1243"/>
      <c r="E238" s="673"/>
      <c r="F238" s="1243"/>
      <c r="G238" s="1197"/>
      <c r="H238" s="1230"/>
      <c r="I238" s="1230"/>
      <c r="J238" s="1300"/>
      <c r="K238" s="1243"/>
      <c r="L238" s="1300"/>
      <c r="M238" s="690"/>
      <c r="N238" s="690"/>
      <c r="O238" s="690"/>
    </row>
    <row r="239" spans="2:15" s="48" customFormat="1" ht="15.75" customHeight="1" x14ac:dyDescent="0.25">
      <c r="B239" s="1386"/>
      <c r="C239" s="1300"/>
      <c r="D239" s="1243"/>
      <c r="E239" s="673"/>
      <c r="F239" s="1243"/>
      <c r="G239" s="1197"/>
      <c r="H239" s="1230"/>
      <c r="I239" s="1230"/>
      <c r="J239" s="1300"/>
      <c r="K239" s="1243"/>
      <c r="L239" s="1300"/>
      <c r="M239" s="690"/>
      <c r="N239" s="690"/>
      <c r="O239" s="690"/>
    </row>
    <row r="240" spans="2:15" s="48" customFormat="1" ht="15.75" customHeight="1" x14ac:dyDescent="0.25">
      <c r="B240" s="1386"/>
      <c r="C240" s="1300"/>
      <c r="D240" s="1243"/>
      <c r="E240" s="673"/>
      <c r="F240" s="1243"/>
      <c r="G240" s="1197"/>
      <c r="H240" s="1230"/>
      <c r="I240" s="1230"/>
      <c r="J240" s="1300"/>
      <c r="K240" s="1243"/>
      <c r="L240" s="1300"/>
      <c r="M240" s="690"/>
      <c r="N240" s="690"/>
      <c r="O240" s="690"/>
    </row>
    <row r="241" spans="2:15" s="48" customFormat="1" ht="15.75" customHeight="1" x14ac:dyDescent="0.25">
      <c r="B241" s="1386"/>
      <c r="C241" s="1300"/>
      <c r="D241" s="1243"/>
      <c r="E241" s="673"/>
      <c r="F241" s="1243"/>
      <c r="G241" s="1197"/>
      <c r="H241" s="1230"/>
      <c r="I241" s="1230"/>
      <c r="J241" s="1300"/>
      <c r="K241" s="1243"/>
      <c r="L241" s="1300"/>
      <c r="M241" s="690"/>
      <c r="N241" s="690"/>
      <c r="O241" s="690"/>
    </row>
    <row r="242" spans="2:15" s="48" customFormat="1" ht="15.75" customHeight="1" x14ac:dyDescent="0.25">
      <c r="B242" s="1386"/>
      <c r="C242" s="1300"/>
      <c r="D242" s="1243"/>
      <c r="E242" s="673"/>
      <c r="F242" s="1243"/>
      <c r="G242" s="1197"/>
      <c r="H242" s="1230"/>
      <c r="I242" s="1230"/>
      <c r="J242" s="1300"/>
      <c r="K242" s="1243"/>
      <c r="L242" s="1300"/>
      <c r="M242" s="690"/>
      <c r="N242" s="690"/>
      <c r="O242" s="690"/>
    </row>
    <row r="243" spans="2:15" s="48" customFormat="1" ht="15.75" customHeight="1" x14ac:dyDescent="0.25">
      <c r="B243" s="1386"/>
      <c r="C243" s="1300"/>
      <c r="D243" s="1243"/>
      <c r="E243" s="673"/>
      <c r="F243" s="1243"/>
      <c r="G243" s="1197"/>
      <c r="H243" s="1230"/>
      <c r="I243" s="1230"/>
      <c r="J243" s="1300"/>
      <c r="K243" s="1243"/>
      <c r="L243" s="1300"/>
      <c r="M243" s="690"/>
      <c r="N243" s="690"/>
      <c r="O243" s="690"/>
    </row>
    <row r="244" spans="2:15" s="48" customFormat="1" ht="15.75" customHeight="1" x14ac:dyDescent="0.25">
      <c r="B244" s="1386"/>
      <c r="C244" s="1300"/>
      <c r="D244" s="1243"/>
      <c r="E244" s="673"/>
      <c r="F244" s="1379"/>
      <c r="G244" s="1197"/>
      <c r="H244" s="1230"/>
      <c r="I244" s="1230"/>
      <c r="J244" s="1300"/>
      <c r="K244" s="1243"/>
      <c r="L244" s="1300"/>
      <c r="M244" s="690"/>
      <c r="N244" s="690"/>
      <c r="O244" s="690"/>
    </row>
    <row r="245" spans="2:15" s="48" customFormat="1" ht="15.75" customHeight="1" x14ac:dyDescent="0.25">
      <c r="B245" s="1386"/>
      <c r="C245" s="1300"/>
      <c r="D245" s="1243"/>
      <c r="E245" s="673"/>
      <c r="F245" s="1379"/>
      <c r="G245" s="1197"/>
      <c r="H245" s="1230"/>
      <c r="I245" s="1230"/>
      <c r="J245" s="1300"/>
      <c r="K245" s="1243"/>
      <c r="L245" s="1300"/>
      <c r="M245" s="690"/>
      <c r="N245" s="690"/>
      <c r="O245" s="690"/>
    </row>
    <row r="246" spans="2:15" s="48" customFormat="1" ht="15.75" customHeight="1" x14ac:dyDescent="0.25">
      <c r="B246" s="1386"/>
      <c r="C246" s="1300"/>
      <c r="D246" s="1243"/>
      <c r="E246" s="673"/>
      <c r="F246" s="1379"/>
      <c r="G246" s="1197"/>
      <c r="H246" s="1230"/>
      <c r="I246" s="1230"/>
      <c r="J246" s="1300"/>
      <c r="K246" s="1243"/>
      <c r="L246" s="1300"/>
      <c r="M246" s="690"/>
      <c r="N246" s="690"/>
      <c r="O246" s="690"/>
    </row>
    <row r="247" spans="2:15" s="48" customFormat="1" ht="15.75" customHeight="1" x14ac:dyDescent="0.25">
      <c r="B247" s="1386"/>
      <c r="C247" s="1300"/>
      <c r="D247" s="1243"/>
      <c r="E247" s="673"/>
      <c r="F247" s="1379"/>
      <c r="G247" s="1197"/>
      <c r="H247" s="1230"/>
      <c r="I247" s="1230"/>
      <c r="J247" s="1300"/>
      <c r="K247" s="1243"/>
      <c r="L247" s="1300"/>
      <c r="M247" s="690"/>
      <c r="N247" s="690"/>
      <c r="O247" s="690"/>
    </row>
    <row r="248" spans="2:15" s="48" customFormat="1" ht="15.75" customHeight="1" x14ac:dyDescent="0.25">
      <c r="B248" s="1386"/>
      <c r="C248" s="1300"/>
      <c r="D248" s="1243"/>
      <c r="E248" s="673"/>
      <c r="F248" s="1379"/>
      <c r="G248" s="1197"/>
      <c r="H248" s="1230"/>
      <c r="I248" s="1230"/>
      <c r="J248" s="1300"/>
      <c r="K248" s="1243"/>
      <c r="L248" s="1300"/>
      <c r="M248" s="690"/>
      <c r="N248" s="690"/>
      <c r="O248" s="690"/>
    </row>
    <row r="249" spans="2:15" s="48" customFormat="1" ht="15.75" customHeight="1" x14ac:dyDescent="0.25">
      <c r="B249" s="1386"/>
      <c r="C249" s="1300"/>
      <c r="D249" s="1243"/>
      <c r="E249" s="673"/>
      <c r="F249" s="1379"/>
      <c r="G249" s="1197"/>
      <c r="H249" s="1230"/>
      <c r="I249" s="1230"/>
      <c r="J249" s="1300"/>
      <c r="K249" s="1243"/>
      <c r="L249" s="1300"/>
      <c r="M249" s="690"/>
      <c r="N249" s="690"/>
      <c r="O249" s="690"/>
    </row>
    <row r="250" spans="2:15" s="48" customFormat="1" ht="15.75" customHeight="1" x14ac:dyDescent="0.25">
      <c r="B250" s="1386"/>
      <c r="C250" s="1300"/>
      <c r="D250" s="1243"/>
      <c r="E250" s="673"/>
      <c r="F250" s="1379"/>
      <c r="G250" s="1197"/>
      <c r="H250" s="1230"/>
      <c r="I250" s="1230"/>
      <c r="J250" s="1300"/>
      <c r="K250" s="1243"/>
      <c r="L250" s="1300"/>
      <c r="M250" s="690"/>
      <c r="N250" s="690"/>
      <c r="O250" s="690"/>
    </row>
    <row r="251" spans="2:15" s="48" customFormat="1" ht="15.75" customHeight="1" x14ac:dyDescent="0.25">
      <c r="B251" s="1386"/>
      <c r="C251" s="1300"/>
      <c r="D251" s="1243"/>
      <c r="E251" s="673"/>
      <c r="F251" s="1379"/>
      <c r="G251" s="1197"/>
      <c r="H251" s="1230"/>
      <c r="I251" s="1230"/>
      <c r="J251" s="1300"/>
      <c r="K251" s="1243"/>
      <c r="L251" s="1300"/>
      <c r="M251" s="690"/>
      <c r="N251" s="690"/>
      <c r="O251" s="690"/>
    </row>
    <row r="252" spans="2:15" s="48" customFormat="1" ht="15.75" customHeight="1" x14ac:dyDescent="0.25">
      <c r="B252" s="1386"/>
      <c r="C252" s="1300"/>
      <c r="D252" s="1243"/>
      <c r="E252" s="673"/>
      <c r="F252" s="1379"/>
      <c r="G252" s="1197"/>
      <c r="H252" s="1230"/>
      <c r="I252" s="1230"/>
      <c r="J252" s="1300"/>
      <c r="K252" s="1243"/>
      <c r="L252" s="1300"/>
      <c r="M252" s="690"/>
      <c r="N252" s="690"/>
      <c r="O252" s="690"/>
    </row>
    <row r="253" spans="2:15" s="48" customFormat="1" ht="15.75" customHeight="1" x14ac:dyDescent="0.25">
      <c r="B253" s="1386"/>
      <c r="C253" s="1300"/>
      <c r="D253" s="1243"/>
      <c r="E253" s="673"/>
      <c r="F253" s="1379"/>
      <c r="G253" s="1197"/>
      <c r="H253" s="1230"/>
      <c r="I253" s="1230"/>
      <c r="J253" s="1300"/>
      <c r="K253" s="1243"/>
      <c r="L253" s="1300"/>
      <c r="M253" s="690"/>
      <c r="N253" s="690"/>
      <c r="O253" s="690"/>
    </row>
    <row r="254" spans="2:15" s="48" customFormat="1" ht="15.75" customHeight="1" x14ac:dyDescent="0.25">
      <c r="B254" s="1386"/>
      <c r="C254" s="1300"/>
      <c r="D254" s="1243"/>
      <c r="E254" s="673"/>
      <c r="F254" s="1379"/>
      <c r="G254" s="1197"/>
      <c r="H254" s="1230"/>
      <c r="I254" s="1230"/>
      <c r="J254" s="1300"/>
      <c r="K254" s="1243"/>
      <c r="L254" s="1300"/>
      <c r="M254" s="690"/>
      <c r="N254" s="690"/>
      <c r="O254" s="690"/>
    </row>
    <row r="255" spans="2:15" s="48" customFormat="1" ht="15.75" customHeight="1" x14ac:dyDescent="0.25">
      <c r="B255" s="1386"/>
      <c r="C255" s="1300"/>
      <c r="D255" s="1243"/>
      <c r="E255" s="673"/>
      <c r="F255" s="1379"/>
      <c r="G255" s="1197"/>
      <c r="H255" s="1230"/>
      <c r="I255" s="1230"/>
      <c r="J255" s="1300"/>
      <c r="K255" s="1243"/>
      <c r="L255" s="1300"/>
      <c r="M255" s="690"/>
      <c r="N255" s="690"/>
      <c r="O255" s="690"/>
    </row>
    <row r="256" spans="2:15" s="48" customFormat="1" ht="15.75" customHeight="1" x14ac:dyDescent="0.25">
      <c r="B256" s="1386"/>
      <c r="C256" s="1300"/>
      <c r="D256" s="1243"/>
      <c r="E256" s="673"/>
      <c r="F256" s="1379"/>
      <c r="G256" s="1197"/>
      <c r="H256" s="1230"/>
      <c r="I256" s="1230"/>
      <c r="J256" s="1300"/>
      <c r="K256" s="1243"/>
      <c r="L256" s="1300"/>
      <c r="M256" s="690"/>
      <c r="N256" s="690"/>
      <c r="O256" s="690"/>
    </row>
    <row r="257" spans="2:15" s="48" customFormat="1" ht="15.75" customHeight="1" x14ac:dyDescent="0.25">
      <c r="B257" s="1386"/>
      <c r="C257" s="1300"/>
      <c r="D257" s="1243"/>
      <c r="E257" s="673"/>
      <c r="F257" s="1379"/>
      <c r="G257" s="1197"/>
      <c r="H257" s="1230"/>
      <c r="I257" s="1230"/>
      <c r="J257" s="1300"/>
      <c r="K257" s="1243"/>
      <c r="L257" s="1300"/>
      <c r="M257" s="690"/>
      <c r="N257" s="690"/>
      <c r="O257" s="690"/>
    </row>
    <row r="258" spans="2:15" s="48" customFormat="1" ht="15.75" customHeight="1" x14ac:dyDescent="0.25">
      <c r="B258" s="1386"/>
      <c r="C258" s="1300"/>
      <c r="D258" s="1243"/>
      <c r="E258" s="673"/>
      <c r="F258" s="1379"/>
      <c r="G258" s="1197"/>
      <c r="H258" s="1230"/>
      <c r="I258" s="1230"/>
      <c r="J258" s="1300"/>
      <c r="K258" s="1243"/>
      <c r="L258" s="1300"/>
      <c r="M258" s="690"/>
      <c r="N258" s="690"/>
      <c r="O258" s="690"/>
    </row>
    <row r="259" spans="2:15" s="48" customFormat="1" ht="15.75" customHeight="1" x14ac:dyDescent="0.25">
      <c r="B259" s="1386"/>
      <c r="C259" s="1300"/>
      <c r="D259" s="1243"/>
      <c r="E259" s="673"/>
      <c r="F259" s="1379"/>
      <c r="G259" s="1197"/>
      <c r="H259" s="1230"/>
      <c r="I259" s="1230"/>
      <c r="J259" s="1300"/>
      <c r="K259" s="1243"/>
      <c r="L259" s="1300"/>
      <c r="M259" s="690"/>
      <c r="N259" s="690"/>
      <c r="O259" s="690"/>
    </row>
    <row r="260" spans="2:15" s="48" customFormat="1" ht="15.75" customHeight="1" x14ac:dyDescent="0.25">
      <c r="B260" s="1386"/>
      <c r="C260" s="1300"/>
      <c r="D260" s="1243"/>
      <c r="E260" s="673"/>
      <c r="F260" s="1379"/>
      <c r="G260" s="1197"/>
      <c r="H260" s="1230"/>
      <c r="I260" s="1230"/>
      <c r="J260" s="1300"/>
      <c r="K260" s="1243"/>
      <c r="L260" s="1300"/>
      <c r="M260" s="690"/>
      <c r="N260" s="690"/>
      <c r="O260" s="690"/>
    </row>
    <row r="261" spans="2:15" s="48" customFormat="1" ht="15.75" customHeight="1" x14ac:dyDescent="0.25">
      <c r="B261" s="1386"/>
      <c r="C261" s="1300"/>
      <c r="D261" s="1243"/>
      <c r="E261" s="673"/>
      <c r="F261" s="1379"/>
      <c r="G261" s="1197"/>
      <c r="H261" s="1230"/>
      <c r="I261" s="1230"/>
      <c r="J261" s="1300"/>
      <c r="K261" s="1243"/>
      <c r="L261" s="1300"/>
      <c r="M261" s="690"/>
      <c r="N261" s="690"/>
      <c r="O261" s="690"/>
    </row>
    <row r="262" spans="2:15" s="48" customFormat="1" ht="15.75" customHeight="1" x14ac:dyDescent="0.25">
      <c r="B262" s="1386"/>
      <c r="C262" s="1300"/>
      <c r="D262" s="1243"/>
      <c r="E262" s="673"/>
      <c r="F262" s="1379"/>
      <c r="G262" s="1197"/>
      <c r="H262" s="1230"/>
      <c r="I262" s="1230"/>
      <c r="J262" s="1300"/>
      <c r="K262" s="1243"/>
      <c r="L262" s="1300"/>
      <c r="M262" s="690"/>
      <c r="N262" s="690"/>
      <c r="O262" s="690"/>
    </row>
    <row r="263" spans="2:15" s="48" customFormat="1" ht="15.75" customHeight="1" x14ac:dyDescent="0.25">
      <c r="B263" s="1386"/>
      <c r="C263" s="1300"/>
      <c r="D263" s="1243"/>
      <c r="E263" s="673"/>
      <c r="F263" s="1379"/>
      <c r="G263" s="1197"/>
      <c r="H263" s="1230"/>
      <c r="I263" s="1230"/>
      <c r="J263" s="1300"/>
      <c r="K263" s="1243"/>
      <c r="L263" s="1300"/>
      <c r="M263" s="690"/>
      <c r="N263" s="690"/>
      <c r="O263" s="690"/>
    </row>
    <row r="264" spans="2:15" s="48" customFormat="1" ht="15.75" customHeight="1" x14ac:dyDescent="0.25">
      <c r="B264" s="1386"/>
      <c r="C264" s="1300"/>
      <c r="D264" s="1243"/>
      <c r="E264" s="673"/>
      <c r="F264" s="1379"/>
      <c r="G264" s="1197"/>
      <c r="H264" s="1230"/>
      <c r="I264" s="1230"/>
      <c r="J264" s="1300"/>
      <c r="K264" s="1243"/>
      <c r="L264" s="1300"/>
      <c r="M264" s="690"/>
      <c r="N264" s="690"/>
      <c r="O264" s="690"/>
    </row>
    <row r="265" spans="2:15" s="48" customFormat="1" ht="15.75" customHeight="1" x14ac:dyDescent="0.25">
      <c r="B265" s="1386"/>
      <c r="C265" s="1300"/>
      <c r="D265" s="1243"/>
      <c r="E265" s="673"/>
      <c r="F265" s="1379"/>
      <c r="G265" s="1197"/>
      <c r="H265" s="1230"/>
      <c r="I265" s="1230"/>
      <c r="J265" s="1300"/>
      <c r="K265" s="1243"/>
      <c r="L265" s="1300"/>
      <c r="M265" s="690"/>
      <c r="N265" s="690"/>
      <c r="O265" s="690"/>
    </row>
    <row r="266" spans="2:15" s="48" customFormat="1" ht="15.75" customHeight="1" x14ac:dyDescent="0.25">
      <c r="B266" s="1386"/>
      <c r="C266" s="1300"/>
      <c r="D266" s="1243"/>
      <c r="E266" s="673"/>
      <c r="F266" s="1379"/>
      <c r="G266" s="1197"/>
      <c r="H266" s="1230"/>
      <c r="I266" s="1230"/>
      <c r="J266" s="1300"/>
      <c r="K266" s="1243"/>
      <c r="L266" s="1300"/>
      <c r="M266" s="690"/>
      <c r="N266" s="690"/>
      <c r="O266" s="690"/>
    </row>
    <row r="267" spans="2:15" s="48" customFormat="1" ht="15.75" customHeight="1" x14ac:dyDescent="0.25">
      <c r="B267" s="1386"/>
      <c r="C267" s="1300"/>
      <c r="D267" s="1243"/>
      <c r="E267" s="673"/>
      <c r="F267" s="1379"/>
      <c r="G267" s="1197"/>
      <c r="H267" s="1230"/>
      <c r="I267" s="1230"/>
      <c r="J267" s="1300"/>
      <c r="K267" s="1243"/>
      <c r="L267" s="1300"/>
      <c r="M267" s="690"/>
      <c r="N267" s="690"/>
      <c r="O267" s="690"/>
    </row>
    <row r="268" spans="2:15" s="48" customFormat="1" ht="15.75" customHeight="1" x14ac:dyDescent="0.25">
      <c r="B268" s="1386"/>
      <c r="C268" s="1300"/>
      <c r="D268" s="1243"/>
      <c r="E268" s="673"/>
      <c r="F268" s="1379"/>
      <c r="G268" s="1197"/>
      <c r="H268" s="1230"/>
      <c r="I268" s="1230"/>
      <c r="J268" s="1300"/>
      <c r="K268" s="1243"/>
      <c r="L268" s="1300"/>
      <c r="M268" s="690"/>
      <c r="N268" s="690"/>
      <c r="O268" s="690"/>
    </row>
    <row r="269" spans="2:15" s="48" customFormat="1" ht="15.75" customHeight="1" x14ac:dyDescent="0.25">
      <c r="B269" s="1386"/>
      <c r="C269" s="1300"/>
      <c r="D269" s="1243"/>
      <c r="E269" s="673"/>
      <c r="F269" s="1379"/>
      <c r="G269" s="1197"/>
      <c r="H269" s="1230"/>
      <c r="I269" s="1230"/>
      <c r="J269" s="1300"/>
      <c r="K269" s="1243"/>
      <c r="L269" s="1300"/>
      <c r="M269" s="690"/>
      <c r="N269" s="690"/>
      <c r="O269" s="690"/>
    </row>
    <row r="270" spans="2:15" s="48" customFormat="1" ht="15.75" customHeight="1" x14ac:dyDescent="0.25">
      <c r="B270" s="1386"/>
      <c r="C270" s="1300"/>
      <c r="D270" s="1243"/>
      <c r="E270" s="673"/>
      <c r="F270" s="1379"/>
      <c r="G270" s="1197"/>
      <c r="H270" s="1230"/>
      <c r="I270" s="1230"/>
      <c r="J270" s="1300"/>
      <c r="K270" s="1243"/>
      <c r="L270" s="1300"/>
      <c r="M270" s="690"/>
      <c r="N270" s="690"/>
      <c r="O270" s="690"/>
    </row>
    <row r="271" spans="2:15" s="48" customFormat="1" ht="15.75" customHeight="1" x14ac:dyDescent="0.25">
      <c r="B271" s="1386"/>
      <c r="C271" s="1300"/>
      <c r="D271" s="1243"/>
      <c r="E271" s="673"/>
      <c r="F271" s="1379"/>
      <c r="G271" s="1197"/>
      <c r="H271" s="1230"/>
      <c r="I271" s="1230"/>
      <c r="J271" s="1300"/>
      <c r="K271" s="1243"/>
      <c r="L271" s="1300"/>
      <c r="M271" s="690"/>
      <c r="N271" s="690"/>
      <c r="O271" s="690"/>
    </row>
    <row r="272" spans="2:15" s="48" customFormat="1" ht="15.75" customHeight="1" x14ac:dyDescent="0.25">
      <c r="B272" s="1386"/>
      <c r="C272" s="1300"/>
      <c r="D272" s="1243"/>
      <c r="E272" s="673"/>
      <c r="F272" s="1379"/>
      <c r="G272" s="1197"/>
      <c r="H272" s="1230"/>
      <c r="I272" s="1230"/>
      <c r="J272" s="1300"/>
      <c r="K272" s="1243"/>
      <c r="L272" s="1300"/>
      <c r="M272" s="690"/>
      <c r="N272" s="690"/>
      <c r="O272" s="690"/>
    </row>
    <row r="273" spans="2:15" s="48" customFormat="1" ht="15.75" customHeight="1" x14ac:dyDescent="0.25">
      <c r="B273" s="1386"/>
      <c r="C273" s="1300"/>
      <c r="D273" s="1243"/>
      <c r="E273" s="673"/>
      <c r="F273" s="1379"/>
      <c r="G273" s="1197"/>
      <c r="H273" s="1230"/>
      <c r="I273" s="1230"/>
      <c r="J273" s="1300"/>
      <c r="K273" s="1243"/>
      <c r="L273" s="1300"/>
      <c r="M273" s="690"/>
      <c r="N273" s="690"/>
      <c r="O273" s="690"/>
    </row>
    <row r="274" spans="2:15" s="48" customFormat="1" ht="15.75" customHeight="1" x14ac:dyDescent="0.25">
      <c r="B274" s="1386"/>
      <c r="C274" s="1300"/>
      <c r="D274" s="1243"/>
      <c r="E274" s="673"/>
      <c r="F274" s="1379"/>
      <c r="G274" s="1197"/>
      <c r="H274" s="1230"/>
      <c r="I274" s="1230"/>
      <c r="J274" s="1300"/>
      <c r="K274" s="1243"/>
      <c r="L274" s="1300"/>
      <c r="M274" s="690"/>
      <c r="N274" s="690"/>
      <c r="O274" s="690"/>
    </row>
    <row r="275" spans="2:15" s="48" customFormat="1" ht="15.75" customHeight="1" x14ac:dyDescent="0.25">
      <c r="B275" s="1386"/>
      <c r="C275" s="1300"/>
      <c r="D275" s="1243"/>
      <c r="E275" s="673"/>
      <c r="F275" s="1379"/>
      <c r="G275" s="1197"/>
      <c r="H275" s="1230"/>
      <c r="I275" s="1230"/>
      <c r="J275" s="1300"/>
      <c r="K275" s="1243"/>
      <c r="L275" s="1300"/>
      <c r="M275" s="690"/>
      <c r="N275" s="690"/>
      <c r="O275" s="690"/>
    </row>
    <row r="276" spans="2:15" s="48" customFormat="1" ht="15.75" customHeight="1" x14ac:dyDescent="0.25">
      <c r="B276" s="1386"/>
      <c r="C276" s="1300"/>
      <c r="D276" s="1243"/>
      <c r="E276" s="673"/>
      <c r="F276" s="1379"/>
      <c r="G276" s="1197"/>
      <c r="H276" s="1230"/>
      <c r="I276" s="1230"/>
      <c r="J276" s="1300"/>
      <c r="K276" s="1243"/>
      <c r="L276" s="1300"/>
      <c r="M276" s="690"/>
      <c r="N276" s="690"/>
      <c r="O276" s="690"/>
    </row>
    <row r="277" spans="2:15" s="48" customFormat="1" ht="15.75" customHeight="1" x14ac:dyDescent="0.25">
      <c r="B277" s="1386"/>
      <c r="C277" s="1300"/>
      <c r="D277" s="1243"/>
      <c r="E277" s="673"/>
      <c r="F277" s="1379"/>
      <c r="G277" s="1197"/>
      <c r="H277" s="1230"/>
      <c r="I277" s="1230"/>
      <c r="J277" s="1300"/>
      <c r="K277" s="1243"/>
      <c r="L277" s="1300"/>
      <c r="M277" s="690"/>
      <c r="N277" s="690"/>
      <c r="O277" s="690"/>
    </row>
    <row r="278" spans="2:15" s="48" customFormat="1" ht="15.75" customHeight="1" x14ac:dyDescent="0.25">
      <c r="B278" s="1386"/>
      <c r="C278" s="1300"/>
      <c r="D278" s="1243"/>
      <c r="E278" s="673"/>
      <c r="F278" s="1379"/>
      <c r="G278" s="1197"/>
      <c r="H278" s="1230"/>
      <c r="I278" s="1230"/>
      <c r="J278" s="1300"/>
      <c r="K278" s="1243"/>
      <c r="L278" s="1300"/>
      <c r="M278" s="690"/>
      <c r="N278" s="690"/>
      <c r="O278" s="690"/>
    </row>
    <row r="279" spans="2:15" s="48" customFormat="1" ht="15.75" customHeight="1" x14ac:dyDescent="0.25">
      <c r="B279" s="1386"/>
      <c r="C279" s="1300"/>
      <c r="D279" s="1243"/>
      <c r="E279" s="673"/>
      <c r="F279" s="1379"/>
      <c r="G279" s="1197"/>
      <c r="H279" s="1230"/>
      <c r="I279" s="1230"/>
      <c r="J279" s="1300"/>
      <c r="K279" s="1243"/>
      <c r="L279" s="1300"/>
      <c r="M279" s="690"/>
      <c r="N279" s="690"/>
      <c r="O279" s="690"/>
    </row>
    <row r="280" spans="2:15" s="48" customFormat="1" ht="15.75" customHeight="1" x14ac:dyDescent="0.25">
      <c r="B280" s="1386"/>
      <c r="C280" s="1300"/>
      <c r="D280" s="1243"/>
      <c r="E280" s="673"/>
      <c r="F280" s="1379"/>
      <c r="G280" s="1197"/>
      <c r="H280" s="1230"/>
      <c r="I280" s="1230"/>
      <c r="J280" s="1300"/>
      <c r="K280" s="1243"/>
      <c r="L280" s="1300"/>
      <c r="M280" s="690"/>
      <c r="N280" s="690"/>
      <c r="O280" s="690"/>
    </row>
    <row r="281" spans="2:15" s="48" customFormat="1" ht="15.75" customHeight="1" x14ac:dyDescent="0.25">
      <c r="B281" s="1386"/>
      <c r="C281" s="1300"/>
      <c r="D281" s="1243"/>
      <c r="E281" s="673"/>
      <c r="F281" s="1379"/>
      <c r="G281" s="1197"/>
      <c r="H281" s="1230"/>
      <c r="I281" s="1230"/>
      <c r="J281" s="1300"/>
      <c r="K281" s="1243"/>
      <c r="L281" s="1300"/>
      <c r="M281" s="690"/>
      <c r="N281" s="690"/>
      <c r="O281" s="690"/>
    </row>
    <row r="282" spans="2:15" s="48" customFormat="1" ht="15.75" customHeight="1" x14ac:dyDescent="0.25">
      <c r="B282" s="1386"/>
      <c r="C282" s="1300"/>
      <c r="D282" s="1243"/>
      <c r="E282" s="673"/>
      <c r="F282" s="1379"/>
      <c r="G282" s="1197"/>
      <c r="H282" s="1230"/>
      <c r="I282" s="1230"/>
      <c r="J282" s="1300"/>
      <c r="K282" s="1243"/>
      <c r="L282" s="1300"/>
      <c r="M282" s="690"/>
      <c r="N282" s="690"/>
      <c r="O282" s="690"/>
    </row>
    <row r="283" spans="2:15" s="48" customFormat="1" ht="15.75" customHeight="1" x14ac:dyDescent="0.25">
      <c r="B283" s="1386"/>
      <c r="C283" s="1300"/>
      <c r="D283" s="1243"/>
      <c r="E283" s="673"/>
      <c r="F283" s="1379"/>
      <c r="G283" s="1197"/>
      <c r="H283" s="1230"/>
      <c r="I283" s="1230"/>
      <c r="J283" s="1300"/>
      <c r="K283" s="1243"/>
      <c r="L283" s="1300"/>
      <c r="M283" s="690"/>
      <c r="N283" s="690"/>
      <c r="O283" s="690"/>
    </row>
    <row r="284" spans="2:15" s="48" customFormat="1" ht="15.75" customHeight="1" x14ac:dyDescent="0.25">
      <c r="B284" s="1386"/>
      <c r="C284" s="1300"/>
      <c r="D284" s="1243"/>
      <c r="E284" s="673"/>
      <c r="F284" s="1379"/>
      <c r="G284" s="1197"/>
      <c r="H284" s="1230"/>
      <c r="I284" s="1230"/>
      <c r="J284" s="1300"/>
      <c r="K284" s="1243"/>
      <c r="L284" s="1300"/>
      <c r="M284" s="690"/>
      <c r="N284" s="690"/>
      <c r="O284" s="690"/>
    </row>
    <row r="285" spans="2:15" s="48" customFormat="1" ht="15.75" customHeight="1" x14ac:dyDescent="0.25">
      <c r="B285" s="1386"/>
      <c r="C285" s="1300"/>
      <c r="D285" s="1243"/>
      <c r="E285" s="673"/>
      <c r="F285" s="1379"/>
      <c r="G285" s="1197"/>
      <c r="H285" s="1230"/>
      <c r="I285" s="1230"/>
      <c r="J285" s="1300"/>
      <c r="K285" s="1243"/>
      <c r="L285" s="1300"/>
      <c r="M285" s="690"/>
      <c r="N285" s="690"/>
      <c r="O285" s="690"/>
    </row>
    <row r="286" spans="2:15" s="48" customFormat="1" ht="15.75" customHeight="1" x14ac:dyDescent="0.25">
      <c r="B286" s="1386"/>
      <c r="C286" s="1300"/>
      <c r="D286" s="1243"/>
      <c r="E286" s="673"/>
      <c r="F286" s="1379"/>
      <c r="G286" s="1197"/>
      <c r="H286" s="1230"/>
      <c r="I286" s="1230"/>
      <c r="J286" s="1300"/>
      <c r="K286" s="1243"/>
      <c r="L286" s="1300"/>
      <c r="M286" s="690"/>
      <c r="N286" s="690"/>
      <c r="O286" s="690"/>
    </row>
    <row r="287" spans="2:15" s="48" customFormat="1" ht="15.75" customHeight="1" x14ac:dyDescent="0.25">
      <c r="B287" s="1386"/>
      <c r="C287" s="1300"/>
      <c r="D287" s="1243"/>
      <c r="E287" s="673"/>
      <c r="F287" s="1379"/>
      <c r="G287" s="1197"/>
      <c r="H287" s="1230"/>
      <c r="I287" s="1230"/>
      <c r="J287" s="1300"/>
      <c r="K287" s="1243"/>
      <c r="L287" s="1300"/>
      <c r="M287" s="690"/>
      <c r="N287" s="690"/>
      <c r="O287" s="690"/>
    </row>
    <row r="288" spans="2:15" s="48" customFormat="1" ht="15.75" customHeight="1" x14ac:dyDescent="0.25">
      <c r="B288" s="1386"/>
      <c r="C288" s="1300"/>
      <c r="D288" s="1243"/>
      <c r="E288" s="673"/>
      <c r="F288" s="1379"/>
      <c r="G288" s="1197"/>
      <c r="H288" s="1230"/>
      <c r="I288" s="1230"/>
      <c r="J288" s="1300"/>
      <c r="K288" s="1243"/>
      <c r="L288" s="1300"/>
      <c r="M288" s="690"/>
      <c r="N288" s="690"/>
      <c r="O288" s="690"/>
    </row>
    <row r="289" spans="2:15" s="48" customFormat="1" ht="15.75" customHeight="1" x14ac:dyDescent="0.25">
      <c r="B289" s="1386"/>
      <c r="C289" s="1300"/>
      <c r="D289" s="1243"/>
      <c r="E289" s="673"/>
      <c r="F289" s="1379"/>
      <c r="G289" s="1197"/>
      <c r="H289" s="1230"/>
      <c r="I289" s="1230"/>
      <c r="J289" s="1300"/>
      <c r="K289" s="1243"/>
      <c r="L289" s="1300"/>
      <c r="M289" s="690"/>
      <c r="N289" s="690"/>
      <c r="O289" s="690"/>
    </row>
    <row r="290" spans="2:15" s="48" customFormat="1" ht="15.75" customHeight="1" x14ac:dyDescent="0.25">
      <c r="B290" s="1386"/>
      <c r="C290" s="1300"/>
      <c r="D290" s="1243"/>
      <c r="E290" s="673"/>
      <c r="F290" s="1379"/>
      <c r="G290" s="1197"/>
      <c r="H290" s="1230"/>
      <c r="I290" s="1230"/>
      <c r="J290" s="1300"/>
      <c r="K290" s="1243"/>
      <c r="L290" s="1300"/>
      <c r="M290" s="690"/>
      <c r="N290" s="690"/>
      <c r="O290" s="690"/>
    </row>
    <row r="291" spans="2:15" s="48" customFormat="1" ht="15.75" customHeight="1" x14ac:dyDescent="0.25">
      <c r="B291" s="1386"/>
      <c r="C291" s="1300"/>
      <c r="D291" s="1243"/>
      <c r="E291" s="673"/>
      <c r="F291" s="1379"/>
      <c r="G291" s="1197"/>
      <c r="H291" s="1230"/>
      <c r="I291" s="1230"/>
      <c r="J291" s="1300"/>
      <c r="K291" s="1243"/>
      <c r="L291" s="1300"/>
      <c r="M291" s="690"/>
      <c r="N291" s="690"/>
      <c r="O291" s="690"/>
    </row>
    <row r="292" spans="2:15" s="48" customFormat="1" ht="15.75" customHeight="1" x14ac:dyDescent="0.25">
      <c r="B292" s="1378"/>
      <c r="C292" s="1300"/>
      <c r="D292" s="1243"/>
      <c r="E292" s="673"/>
      <c r="F292" s="1379"/>
      <c r="G292" s="1197"/>
      <c r="H292" s="1230"/>
      <c r="I292" s="1230"/>
      <c r="J292" s="1300"/>
      <c r="K292" s="1243"/>
      <c r="L292" s="1300"/>
      <c r="M292" s="690"/>
      <c r="N292" s="690"/>
      <c r="O292" s="690"/>
    </row>
    <row r="293" spans="2:15" s="48" customFormat="1" ht="15.75" customHeight="1" x14ac:dyDescent="0.25">
      <c r="B293" s="1378"/>
      <c r="C293" s="1300"/>
      <c r="D293" s="1243"/>
      <c r="E293" s="673"/>
      <c r="F293" s="1379"/>
      <c r="G293" s="1197"/>
      <c r="H293" s="1230"/>
      <c r="I293" s="1230"/>
      <c r="J293" s="1300"/>
      <c r="K293" s="1243"/>
      <c r="L293" s="1300"/>
      <c r="M293" s="690"/>
      <c r="N293" s="690"/>
      <c r="O293" s="690"/>
    </row>
    <row r="294" spans="2:15" s="48" customFormat="1" ht="15.75" customHeight="1" x14ac:dyDescent="0.25">
      <c r="B294" s="1378"/>
      <c r="C294" s="1300"/>
      <c r="D294" s="1243"/>
      <c r="E294" s="673"/>
      <c r="F294" s="1379"/>
      <c r="G294" s="1197"/>
      <c r="H294" s="1230"/>
      <c r="I294" s="1230"/>
      <c r="J294" s="1300"/>
      <c r="K294" s="1243"/>
      <c r="L294" s="1300"/>
      <c r="M294" s="690"/>
      <c r="N294" s="690"/>
      <c r="O294" s="690"/>
    </row>
    <row r="295" spans="2:15" s="48" customFormat="1" ht="15.75" customHeight="1" x14ac:dyDescent="0.25">
      <c r="B295" s="1378"/>
      <c r="C295" s="1300"/>
      <c r="D295" s="1243"/>
      <c r="E295" s="673"/>
      <c r="F295" s="1379"/>
      <c r="G295" s="1197"/>
      <c r="H295" s="1230"/>
      <c r="I295" s="1230"/>
      <c r="J295" s="1300"/>
      <c r="K295" s="1243"/>
      <c r="L295" s="1300"/>
      <c r="M295" s="690"/>
      <c r="N295" s="690"/>
      <c r="O295" s="690"/>
    </row>
    <row r="296" spans="2:15" s="48" customFormat="1" ht="15.75" customHeight="1" x14ac:dyDescent="0.25">
      <c r="B296" s="1378"/>
      <c r="C296" s="1300"/>
      <c r="D296" s="1243"/>
      <c r="E296" s="673"/>
      <c r="F296" s="1379"/>
      <c r="G296" s="1197"/>
      <c r="H296" s="1230"/>
      <c r="I296" s="1230"/>
      <c r="J296" s="1300"/>
      <c r="K296" s="1243"/>
      <c r="L296" s="1300"/>
      <c r="M296" s="690"/>
      <c r="N296" s="690"/>
      <c r="O296" s="690"/>
    </row>
    <row r="297" spans="2:15" s="48" customFormat="1" ht="15.75" customHeight="1" x14ac:dyDescent="0.25">
      <c r="B297" s="1378"/>
      <c r="C297" s="1300"/>
      <c r="D297" s="1243"/>
      <c r="E297" s="673"/>
      <c r="F297" s="1379"/>
      <c r="G297" s="1197"/>
      <c r="H297" s="1230"/>
      <c r="I297" s="1230"/>
      <c r="J297" s="1300"/>
      <c r="K297" s="1243"/>
      <c r="L297" s="1300"/>
      <c r="M297" s="690"/>
      <c r="N297" s="690"/>
      <c r="O297" s="690"/>
    </row>
    <row r="298" spans="2:15" s="48" customFormat="1" ht="15.75" customHeight="1" x14ac:dyDescent="0.25">
      <c r="B298" s="1378"/>
      <c r="C298" s="1300"/>
      <c r="D298" s="1243"/>
      <c r="E298" s="673"/>
      <c r="F298" s="1379"/>
      <c r="G298" s="1197"/>
      <c r="H298" s="1230"/>
      <c r="I298" s="1230"/>
      <c r="J298" s="1300"/>
      <c r="K298" s="1243"/>
      <c r="L298" s="1300"/>
      <c r="M298" s="690"/>
      <c r="N298" s="690"/>
      <c r="O298" s="690"/>
    </row>
    <row r="299" spans="2:15" s="48" customFormat="1" ht="15.75" customHeight="1" x14ac:dyDescent="0.25">
      <c r="B299" s="1378"/>
      <c r="C299" s="1300"/>
      <c r="D299" s="1243"/>
      <c r="E299" s="673"/>
      <c r="F299" s="1379"/>
      <c r="G299" s="1197"/>
      <c r="H299" s="1230"/>
      <c r="I299" s="1230"/>
      <c r="J299" s="1300"/>
      <c r="K299" s="1243"/>
      <c r="L299" s="1300"/>
      <c r="M299" s="690"/>
      <c r="N299" s="690"/>
      <c r="O299" s="690"/>
    </row>
    <row r="300" spans="2:15" s="48" customFormat="1" ht="15.75" customHeight="1" x14ac:dyDescent="0.25">
      <c r="B300" s="1378"/>
      <c r="C300" s="1300"/>
      <c r="D300" s="1243"/>
      <c r="E300" s="673"/>
      <c r="F300" s="1379"/>
      <c r="G300" s="1197"/>
      <c r="H300" s="1230"/>
      <c r="I300" s="1230"/>
      <c r="J300" s="1300"/>
      <c r="K300" s="1243"/>
      <c r="L300" s="1300"/>
      <c r="M300" s="690"/>
      <c r="N300" s="690"/>
      <c r="O300" s="690"/>
    </row>
    <row r="301" spans="2:15" s="48" customFormat="1" ht="15.75" customHeight="1" x14ac:dyDescent="0.25">
      <c r="B301" s="1378"/>
      <c r="C301" s="1300"/>
      <c r="D301" s="1243"/>
      <c r="E301" s="673"/>
      <c r="F301" s="1379"/>
      <c r="G301" s="1197"/>
      <c r="H301" s="1230"/>
      <c r="I301" s="1230"/>
      <c r="J301" s="1300"/>
      <c r="K301" s="1243"/>
      <c r="L301" s="1300"/>
      <c r="M301" s="690"/>
      <c r="N301" s="690"/>
      <c r="O301" s="690"/>
    </row>
    <row r="302" spans="2:15" s="48" customFormat="1" ht="15.75" customHeight="1" x14ac:dyDescent="0.25">
      <c r="B302" s="1378"/>
      <c r="C302" s="1300"/>
      <c r="D302" s="1243"/>
      <c r="E302" s="673"/>
      <c r="F302" s="1379"/>
      <c r="G302" s="1197"/>
      <c r="H302" s="1230"/>
      <c r="I302" s="1230"/>
      <c r="J302" s="1300"/>
      <c r="K302" s="1243"/>
      <c r="L302" s="1300"/>
      <c r="M302" s="690"/>
      <c r="N302" s="690"/>
      <c r="O302" s="690"/>
    </row>
    <row r="303" spans="2:15" s="48" customFormat="1" ht="15.75" customHeight="1" x14ac:dyDescent="0.25">
      <c r="B303" s="1378"/>
      <c r="C303" s="1300"/>
      <c r="D303" s="1243"/>
      <c r="E303" s="673"/>
      <c r="F303" s="1379"/>
      <c r="G303" s="1197"/>
      <c r="H303" s="1230"/>
      <c r="I303" s="1230"/>
      <c r="J303" s="1300"/>
      <c r="K303" s="1243"/>
      <c r="L303" s="1300"/>
      <c r="M303" s="690"/>
      <c r="N303" s="690"/>
      <c r="O303" s="690"/>
    </row>
    <row r="304" spans="2:15" s="48" customFormat="1" ht="18" customHeight="1" x14ac:dyDescent="0.25">
      <c r="B304" s="1378"/>
      <c r="C304" s="1300"/>
      <c r="D304" s="1243"/>
      <c r="E304" s="673"/>
      <c r="F304" s="1379"/>
      <c r="G304" s="1197"/>
      <c r="H304" s="1230"/>
      <c r="I304" s="1230"/>
      <c r="J304" s="1300"/>
      <c r="K304" s="1243"/>
      <c r="L304" s="1300"/>
      <c r="M304" s="690"/>
      <c r="N304" s="690"/>
      <c r="O304" s="690"/>
    </row>
    <row r="305" spans="2:15" s="48" customFormat="1" ht="16.5" customHeight="1" x14ac:dyDescent="0.25">
      <c r="B305" s="1378"/>
      <c r="C305" s="1300"/>
      <c r="D305" s="1243"/>
      <c r="E305" s="673"/>
      <c r="F305" s="1379"/>
      <c r="G305" s="1197"/>
      <c r="H305" s="1230"/>
      <c r="I305" s="1230"/>
      <c r="J305" s="1300"/>
      <c r="K305" s="1243"/>
      <c r="L305" s="1300"/>
      <c r="M305" s="690"/>
      <c r="N305" s="690"/>
      <c r="O305" s="690"/>
    </row>
    <row r="306" spans="2:15" s="48" customFormat="1" ht="15.75" customHeight="1" x14ac:dyDescent="0.25">
      <c r="B306" s="1378"/>
      <c r="C306" s="1300"/>
      <c r="D306" s="1243"/>
      <c r="E306" s="673"/>
      <c r="F306" s="1379"/>
      <c r="G306" s="1197"/>
      <c r="H306" s="1230"/>
      <c r="I306" s="1230"/>
      <c r="J306" s="1300"/>
      <c r="K306" s="1243"/>
      <c r="L306" s="1300"/>
      <c r="M306" s="690"/>
      <c r="N306" s="690"/>
      <c r="O306" s="690"/>
    </row>
    <row r="307" spans="2:15" s="48" customFormat="1" ht="15" customHeight="1" x14ac:dyDescent="0.25">
      <c r="B307" s="1378"/>
      <c r="C307" s="1300"/>
      <c r="D307" s="1243"/>
      <c r="E307" s="673"/>
      <c r="F307" s="1379"/>
      <c r="G307" s="1197"/>
      <c r="H307" s="1230"/>
      <c r="I307" s="1230"/>
      <c r="J307" s="1300"/>
      <c r="K307" s="1243"/>
      <c r="L307" s="1300"/>
      <c r="M307" s="690"/>
      <c r="N307" s="690"/>
      <c r="O307" s="690"/>
    </row>
    <row r="308" spans="2:15" s="48" customFormat="1" ht="17.25" customHeight="1" x14ac:dyDescent="0.25">
      <c r="B308" s="1378"/>
      <c r="C308" s="1300"/>
      <c r="D308" s="1243"/>
      <c r="E308" s="673"/>
      <c r="F308" s="1379"/>
      <c r="G308" s="1197"/>
      <c r="H308" s="1230"/>
      <c r="I308" s="1230"/>
      <c r="J308" s="1300"/>
      <c r="K308" s="1243"/>
      <c r="L308" s="1300"/>
      <c r="M308" s="690"/>
      <c r="N308" s="690"/>
      <c r="O308" s="690"/>
    </row>
    <row r="309" spans="2:15" s="48" customFormat="1" ht="18" customHeight="1" x14ac:dyDescent="0.25">
      <c r="B309" s="1378"/>
      <c r="C309" s="1300"/>
      <c r="D309" s="1243"/>
      <c r="E309" s="673"/>
      <c r="F309" s="1379"/>
      <c r="G309" s="1197"/>
      <c r="H309" s="1230"/>
      <c r="I309" s="1230"/>
      <c r="J309" s="1300"/>
      <c r="K309" s="1243"/>
      <c r="L309" s="1300"/>
      <c r="M309" s="690"/>
      <c r="N309" s="690"/>
      <c r="O309" s="690"/>
    </row>
    <row r="310" spans="2:15" s="48" customFormat="1" ht="16.5" customHeight="1" x14ac:dyDescent="0.25">
      <c r="B310" s="1378"/>
      <c r="C310" s="1300"/>
      <c r="D310" s="1243"/>
      <c r="E310" s="673"/>
      <c r="F310" s="1379"/>
      <c r="G310" s="1197"/>
      <c r="H310" s="1230"/>
      <c r="I310" s="1230"/>
      <c r="J310" s="1300"/>
      <c r="K310" s="1243"/>
      <c r="L310" s="1300"/>
      <c r="M310" s="690"/>
      <c r="N310" s="690"/>
      <c r="O310" s="690"/>
    </row>
    <row r="311" spans="2:15" s="48" customFormat="1" ht="15.75" customHeight="1" x14ac:dyDescent="0.25">
      <c r="B311" s="1378"/>
      <c r="C311" s="1300"/>
      <c r="D311" s="1243"/>
      <c r="E311" s="673"/>
      <c r="F311" s="1379"/>
      <c r="G311" s="1197"/>
      <c r="H311" s="1230"/>
      <c r="I311" s="1230"/>
      <c r="J311" s="1300"/>
      <c r="K311" s="1243"/>
      <c r="L311" s="1300"/>
      <c r="M311" s="690"/>
      <c r="N311" s="690"/>
      <c r="O311" s="690"/>
    </row>
    <row r="312" spans="2:15" s="48" customFormat="1" ht="16.5" customHeight="1" x14ac:dyDescent="0.25">
      <c r="B312" s="1378"/>
      <c r="C312" s="1300"/>
      <c r="D312" s="1243"/>
      <c r="E312" s="673"/>
      <c r="F312" s="1379"/>
      <c r="G312" s="1197"/>
      <c r="H312" s="1230"/>
      <c r="I312" s="1230"/>
      <c r="J312" s="1300"/>
      <c r="K312" s="1243"/>
      <c r="L312" s="1300"/>
      <c r="M312" s="690"/>
      <c r="N312" s="690"/>
      <c r="O312" s="690"/>
    </row>
    <row r="313" spans="2:15" s="48" customFormat="1" ht="18" customHeight="1" x14ac:dyDescent="0.25">
      <c r="B313" s="1378"/>
      <c r="C313" s="1300"/>
      <c r="D313" s="1243"/>
      <c r="E313" s="673"/>
      <c r="F313" s="1379"/>
      <c r="G313" s="1197"/>
      <c r="H313" s="1230"/>
      <c r="I313" s="1230"/>
      <c r="J313" s="1300"/>
      <c r="K313" s="1243"/>
      <c r="L313" s="1300"/>
      <c r="M313" s="690"/>
      <c r="N313" s="690"/>
      <c r="O313" s="690"/>
    </row>
    <row r="314" spans="2:15" s="48" customFormat="1" ht="17.25" customHeight="1" x14ac:dyDescent="0.25">
      <c r="B314" s="1378"/>
      <c r="C314" s="1300"/>
      <c r="D314" s="1243"/>
      <c r="E314" s="673"/>
      <c r="F314" s="1379"/>
      <c r="G314" s="1197"/>
      <c r="H314" s="1230"/>
      <c r="I314" s="1230"/>
      <c r="J314" s="1300"/>
      <c r="K314" s="1243"/>
      <c r="L314" s="1300"/>
      <c r="M314" s="690"/>
      <c r="N314" s="690"/>
      <c r="O314" s="690"/>
    </row>
    <row r="315" spans="2:15" s="48" customFormat="1" ht="18.75" customHeight="1" x14ac:dyDescent="0.25">
      <c r="B315" s="1378"/>
      <c r="C315" s="1300"/>
      <c r="D315" s="1243"/>
      <c r="E315" s="673"/>
      <c r="F315" s="1379"/>
      <c r="G315" s="1197"/>
      <c r="H315" s="1230"/>
      <c r="I315" s="1230"/>
      <c r="J315" s="1300"/>
      <c r="K315" s="1243"/>
      <c r="L315" s="1300"/>
      <c r="M315" s="690"/>
      <c r="N315" s="690"/>
      <c r="O315" s="690"/>
    </row>
    <row r="316" spans="2:15" s="48" customFormat="1" ht="18.75" customHeight="1" x14ac:dyDescent="0.25">
      <c r="B316" s="1378"/>
      <c r="C316" s="1300"/>
      <c r="D316" s="1243"/>
      <c r="E316" s="673"/>
      <c r="F316" s="1379"/>
      <c r="G316" s="1197"/>
      <c r="H316" s="1230"/>
      <c r="I316" s="1230"/>
      <c r="J316" s="1300"/>
      <c r="K316" s="1243"/>
      <c r="L316" s="1300"/>
      <c r="M316" s="690"/>
      <c r="N316" s="690"/>
      <c r="O316" s="690"/>
    </row>
    <row r="317" spans="2:15" s="48" customFormat="1" ht="18.75" customHeight="1" x14ac:dyDescent="0.25">
      <c r="B317" s="1378"/>
      <c r="C317" s="1300"/>
      <c r="D317" s="1243"/>
      <c r="E317" s="673"/>
      <c r="F317" s="1379"/>
      <c r="G317" s="1197"/>
      <c r="H317" s="1230"/>
      <c r="I317" s="1230"/>
      <c r="J317" s="1300"/>
      <c r="K317" s="1243"/>
      <c r="L317" s="1300"/>
      <c r="M317" s="690"/>
      <c r="N317" s="690"/>
      <c r="O317" s="690"/>
    </row>
    <row r="318" spans="2:15" s="48" customFormat="1" ht="18.75" customHeight="1" x14ac:dyDescent="0.25">
      <c r="B318" s="1378"/>
      <c r="C318" s="1300"/>
      <c r="D318" s="1243"/>
      <c r="E318" s="673"/>
      <c r="F318" s="1379"/>
      <c r="G318" s="1197"/>
      <c r="H318" s="1230"/>
      <c r="I318" s="1230"/>
      <c r="J318" s="1300"/>
      <c r="K318" s="1243"/>
      <c r="L318" s="1300"/>
      <c r="M318" s="690"/>
      <c r="N318" s="690"/>
      <c r="O318" s="690"/>
    </row>
    <row r="319" spans="2:15" s="48" customFormat="1" ht="18.75" customHeight="1" x14ac:dyDescent="0.25">
      <c r="B319" s="1378"/>
      <c r="C319" s="1300"/>
      <c r="D319" s="1243"/>
      <c r="E319" s="673"/>
      <c r="F319" s="1379"/>
      <c r="G319" s="1197"/>
      <c r="H319" s="1230"/>
      <c r="I319" s="1230"/>
      <c r="J319" s="1300"/>
      <c r="K319" s="1243"/>
      <c r="L319" s="1300"/>
      <c r="M319" s="690"/>
      <c r="N319" s="690"/>
      <c r="O319" s="690"/>
    </row>
    <row r="320" spans="2:15" s="48" customFormat="1" ht="15.75" customHeight="1" x14ac:dyDescent="0.25">
      <c r="B320" s="1378"/>
      <c r="C320" s="1300"/>
      <c r="D320" s="1243"/>
      <c r="E320" s="673"/>
      <c r="F320" s="1379"/>
      <c r="G320" s="1197"/>
      <c r="H320" s="1230"/>
      <c r="I320" s="1230"/>
      <c r="J320" s="1300"/>
      <c r="K320" s="1243"/>
      <c r="L320" s="1300"/>
      <c r="M320" s="690"/>
      <c r="N320" s="690"/>
      <c r="O320" s="690"/>
    </row>
    <row r="321" spans="2:15" s="48" customFormat="1" ht="15" customHeight="1" x14ac:dyDescent="0.25">
      <c r="B321" s="1378"/>
      <c r="C321" s="1300"/>
      <c r="D321" s="1243"/>
      <c r="E321" s="673"/>
      <c r="F321" s="1379"/>
      <c r="G321" s="1197"/>
      <c r="H321" s="1230"/>
      <c r="I321" s="1230"/>
      <c r="J321" s="1300"/>
      <c r="K321" s="1243"/>
      <c r="L321" s="1300"/>
      <c r="M321" s="690"/>
      <c r="N321" s="690"/>
      <c r="O321" s="690"/>
    </row>
    <row r="322" spans="2:15" s="48" customFormat="1" ht="16.5" customHeight="1" x14ac:dyDescent="0.25">
      <c r="B322" s="1378"/>
      <c r="C322" s="1300"/>
      <c r="D322" s="1243"/>
      <c r="E322" s="673"/>
      <c r="F322" s="1379"/>
      <c r="G322" s="1197"/>
      <c r="H322" s="1230"/>
      <c r="I322" s="1230"/>
      <c r="J322" s="1300"/>
      <c r="K322" s="1243"/>
      <c r="L322" s="1300"/>
      <c r="M322" s="690"/>
      <c r="N322" s="690"/>
      <c r="O322" s="690"/>
    </row>
    <row r="323" spans="2:15" s="48" customFormat="1" ht="17.25" customHeight="1" x14ac:dyDescent="0.25">
      <c r="B323" s="1378"/>
      <c r="C323" s="1300"/>
      <c r="D323" s="1243"/>
      <c r="E323" s="673"/>
      <c r="F323" s="1379"/>
      <c r="G323" s="1197"/>
      <c r="H323" s="1230"/>
      <c r="I323" s="1230"/>
      <c r="J323" s="1300"/>
      <c r="K323" s="1243"/>
      <c r="L323" s="1300"/>
      <c r="M323" s="690"/>
      <c r="N323" s="690"/>
      <c r="O323" s="690"/>
    </row>
    <row r="324" spans="2:15" s="48" customFormat="1" ht="14.25" customHeight="1" x14ac:dyDescent="0.25">
      <c r="B324" s="1378"/>
      <c r="C324" s="1300"/>
      <c r="D324" s="1243"/>
      <c r="E324" s="673"/>
      <c r="F324" s="1379"/>
      <c r="G324" s="1197"/>
      <c r="H324" s="1230"/>
      <c r="I324" s="1230"/>
      <c r="J324" s="1300"/>
      <c r="K324" s="1243"/>
      <c r="L324" s="1300"/>
      <c r="M324" s="690"/>
      <c r="N324" s="690"/>
      <c r="O324" s="690"/>
    </row>
    <row r="325" spans="2:15" s="48" customFormat="1" ht="15" customHeight="1" x14ac:dyDescent="0.25">
      <c r="B325" s="1378"/>
      <c r="C325" s="1300"/>
      <c r="D325" s="1243"/>
      <c r="E325" s="673"/>
      <c r="F325" s="1379"/>
      <c r="G325" s="1197"/>
      <c r="H325" s="1230"/>
      <c r="I325" s="1230"/>
      <c r="J325" s="1300"/>
      <c r="K325" s="1243"/>
      <c r="L325" s="1300"/>
      <c r="M325" s="690"/>
      <c r="N325" s="690"/>
      <c r="O325" s="690"/>
    </row>
    <row r="326" spans="2:15" s="48" customFormat="1" ht="14.25" customHeight="1" x14ac:dyDescent="0.25">
      <c r="B326" s="1378"/>
      <c r="C326" s="1300"/>
      <c r="D326" s="1243"/>
      <c r="E326" s="673"/>
      <c r="F326" s="1379"/>
      <c r="G326" s="1197"/>
      <c r="H326" s="1230"/>
      <c r="I326" s="1230"/>
      <c r="J326" s="1300"/>
      <c r="K326" s="1243"/>
      <c r="L326" s="1300"/>
      <c r="M326" s="690"/>
      <c r="N326" s="690"/>
      <c r="O326" s="690"/>
    </row>
    <row r="327" spans="2:15" s="48" customFormat="1" ht="15.75" customHeight="1" x14ac:dyDescent="0.25">
      <c r="B327" s="1378"/>
      <c r="C327" s="1300"/>
      <c r="D327" s="1243"/>
      <c r="E327" s="673"/>
      <c r="F327" s="1379"/>
      <c r="G327" s="1197"/>
      <c r="H327" s="1230"/>
      <c r="I327" s="1230"/>
      <c r="J327" s="1300"/>
      <c r="K327" s="1243"/>
      <c r="L327" s="1300"/>
      <c r="M327" s="690"/>
      <c r="N327" s="690"/>
      <c r="O327" s="690"/>
    </row>
    <row r="328" spans="2:15" s="48" customFormat="1" ht="15.75" customHeight="1" x14ac:dyDescent="0.25">
      <c r="B328" s="1378"/>
      <c r="C328" s="1300"/>
      <c r="D328" s="1243"/>
      <c r="E328" s="673"/>
      <c r="F328" s="1379"/>
      <c r="G328" s="1197"/>
      <c r="H328" s="1230"/>
      <c r="I328" s="1230"/>
      <c r="J328" s="1300"/>
      <c r="K328" s="1243"/>
      <c r="L328" s="1300"/>
      <c r="M328" s="690"/>
      <c r="N328" s="690"/>
      <c r="O328" s="690"/>
    </row>
    <row r="329" spans="2:15" s="48" customFormat="1" ht="15.75" customHeight="1" x14ac:dyDescent="0.25">
      <c r="B329" s="1378"/>
      <c r="C329" s="1300"/>
      <c r="D329" s="1243"/>
      <c r="E329" s="673"/>
      <c r="F329" s="1379"/>
      <c r="G329" s="1197"/>
      <c r="H329" s="1230"/>
      <c r="I329" s="1230"/>
      <c r="J329" s="1300"/>
      <c r="K329" s="1243"/>
      <c r="L329" s="1300"/>
      <c r="M329" s="690"/>
      <c r="N329" s="690"/>
      <c r="O329" s="690"/>
    </row>
    <row r="330" spans="2:15" s="48" customFormat="1" ht="15.75" customHeight="1" x14ac:dyDescent="0.25">
      <c r="B330" s="1378"/>
      <c r="C330" s="1300"/>
      <c r="D330" s="1243"/>
      <c r="E330" s="673"/>
      <c r="F330" s="1379"/>
      <c r="G330" s="1197"/>
      <c r="H330" s="1230"/>
      <c r="I330" s="1230"/>
      <c r="J330" s="1300"/>
      <c r="K330" s="1243"/>
      <c r="L330" s="1300"/>
      <c r="M330" s="690"/>
      <c r="N330" s="690"/>
      <c r="O330" s="690"/>
    </row>
    <row r="331" spans="2:15" s="48" customFormat="1" ht="15.75" customHeight="1" x14ac:dyDescent="0.25">
      <c r="B331" s="1378"/>
      <c r="C331" s="1300"/>
      <c r="D331" s="1243"/>
      <c r="E331" s="673"/>
      <c r="F331" s="1379"/>
      <c r="G331" s="1197"/>
      <c r="H331" s="1230"/>
      <c r="I331" s="1230"/>
      <c r="J331" s="1300"/>
      <c r="K331" s="1243"/>
      <c r="L331" s="1300"/>
      <c r="M331" s="690"/>
      <c r="N331" s="690"/>
      <c r="O331" s="690"/>
    </row>
    <row r="332" spans="2:15" s="48" customFormat="1" ht="15.75" customHeight="1" x14ac:dyDescent="0.25">
      <c r="B332" s="1378"/>
      <c r="C332" s="1300"/>
      <c r="D332" s="1243"/>
      <c r="E332" s="673"/>
      <c r="F332" s="1379"/>
      <c r="G332" s="1197"/>
      <c r="H332" s="1230"/>
      <c r="I332" s="1230"/>
      <c r="J332" s="1300"/>
      <c r="K332" s="1243"/>
      <c r="L332" s="1300"/>
      <c r="M332" s="690"/>
      <c r="N332" s="690"/>
      <c r="O332" s="690"/>
    </row>
    <row r="333" spans="2:15" s="48" customFormat="1" ht="15.75" customHeight="1" x14ac:dyDescent="0.25">
      <c r="B333" s="1378"/>
      <c r="C333" s="1300"/>
      <c r="D333" s="1243"/>
      <c r="E333" s="673"/>
      <c r="F333" s="1379"/>
      <c r="G333" s="1197"/>
      <c r="H333" s="1230"/>
      <c r="I333" s="1230"/>
      <c r="J333" s="1300"/>
      <c r="K333" s="1243"/>
      <c r="L333" s="1300"/>
      <c r="M333" s="690"/>
      <c r="N333" s="690"/>
      <c r="O333" s="690"/>
    </row>
    <row r="334" spans="2:15" s="48" customFormat="1" ht="15.75" customHeight="1" x14ac:dyDescent="0.25">
      <c r="B334" s="1378"/>
      <c r="C334" s="1300"/>
      <c r="D334" s="1243"/>
      <c r="E334" s="673"/>
      <c r="F334" s="1379"/>
      <c r="G334" s="1197"/>
      <c r="H334" s="1230"/>
      <c r="I334" s="1230"/>
      <c r="J334" s="1300"/>
      <c r="K334" s="1243"/>
      <c r="L334" s="1300"/>
      <c r="M334" s="690"/>
      <c r="N334" s="690"/>
      <c r="O334" s="690"/>
    </row>
    <row r="335" spans="2:15" s="48" customFormat="1" ht="15.75" customHeight="1" x14ac:dyDescent="0.25">
      <c r="B335" s="1378"/>
      <c r="C335" s="1300"/>
      <c r="D335" s="1243"/>
      <c r="E335" s="673"/>
      <c r="F335" s="1379"/>
      <c r="G335" s="1197"/>
      <c r="H335" s="1230"/>
      <c r="I335" s="1230"/>
      <c r="J335" s="1300"/>
      <c r="K335" s="1243"/>
      <c r="L335" s="1300"/>
      <c r="M335" s="690"/>
      <c r="N335" s="690"/>
      <c r="O335" s="690"/>
    </row>
    <row r="336" spans="2:15" s="48" customFormat="1" ht="15.75" customHeight="1" x14ac:dyDescent="0.25">
      <c r="B336" s="1378"/>
      <c r="C336" s="1300"/>
      <c r="D336" s="1243"/>
      <c r="E336" s="673"/>
      <c r="F336" s="1379"/>
      <c r="G336" s="1197"/>
      <c r="H336" s="1230"/>
      <c r="I336" s="1230"/>
      <c r="J336" s="1300"/>
      <c r="K336" s="1243"/>
      <c r="L336" s="1300"/>
      <c r="M336" s="690"/>
      <c r="N336" s="690"/>
      <c r="O336" s="690"/>
    </row>
    <row r="337" spans="2:15" s="48" customFormat="1" ht="15.75" customHeight="1" x14ac:dyDescent="0.25">
      <c r="B337" s="1378"/>
      <c r="C337" s="1300"/>
      <c r="D337" s="1243"/>
      <c r="E337" s="673"/>
      <c r="F337" s="1379"/>
      <c r="G337" s="1197"/>
      <c r="H337" s="1230"/>
      <c r="I337" s="1230"/>
      <c r="J337" s="1300"/>
      <c r="K337" s="1243"/>
      <c r="L337" s="1300"/>
      <c r="M337" s="690"/>
      <c r="N337" s="690"/>
      <c r="O337" s="690"/>
    </row>
    <row r="338" spans="2:15" s="48" customFormat="1" ht="15.75" customHeight="1" x14ac:dyDescent="0.25">
      <c r="B338" s="1378"/>
      <c r="C338" s="1300"/>
      <c r="D338" s="1243"/>
      <c r="E338" s="673"/>
      <c r="F338" s="1379"/>
      <c r="G338" s="1197"/>
      <c r="H338" s="1230"/>
      <c r="I338" s="1230"/>
      <c r="J338" s="1300"/>
      <c r="K338" s="1243"/>
      <c r="L338" s="1300"/>
      <c r="M338" s="690"/>
      <c r="N338" s="690"/>
      <c r="O338" s="690"/>
    </row>
    <row r="339" spans="2:15" s="48" customFormat="1" ht="15.75" customHeight="1" x14ac:dyDescent="0.25">
      <c r="B339" s="1378"/>
      <c r="C339" s="1300"/>
      <c r="D339" s="1243"/>
      <c r="E339" s="673"/>
      <c r="F339" s="1379"/>
      <c r="G339" s="1197"/>
      <c r="H339" s="1230"/>
      <c r="I339" s="1230"/>
      <c r="J339" s="1300"/>
      <c r="K339" s="1243"/>
      <c r="L339" s="1300"/>
      <c r="M339" s="690"/>
      <c r="N339" s="690"/>
      <c r="O339" s="690"/>
    </row>
    <row r="340" spans="2:15" s="48" customFormat="1" ht="15.75" customHeight="1" x14ac:dyDescent="0.25">
      <c r="B340" s="1378"/>
      <c r="C340" s="1300"/>
      <c r="D340" s="1243"/>
      <c r="E340" s="673"/>
      <c r="F340" s="1379"/>
      <c r="G340" s="1197"/>
      <c r="H340" s="1230"/>
      <c r="I340" s="1230"/>
      <c r="J340" s="1300"/>
      <c r="K340" s="1243"/>
      <c r="L340" s="1300"/>
      <c r="M340" s="690"/>
      <c r="N340" s="690"/>
      <c r="O340" s="690"/>
    </row>
    <row r="341" spans="2:15" s="48" customFormat="1" ht="15.75" customHeight="1" x14ac:dyDescent="0.25">
      <c r="B341" s="1378"/>
      <c r="C341" s="1300"/>
      <c r="D341" s="1243"/>
      <c r="E341" s="673"/>
      <c r="F341" s="1379"/>
      <c r="G341" s="1197"/>
      <c r="H341" s="1230"/>
      <c r="I341" s="1230"/>
      <c r="J341" s="1300"/>
      <c r="K341" s="1243"/>
      <c r="L341" s="1300"/>
      <c r="M341" s="690"/>
      <c r="N341" s="690"/>
      <c r="O341" s="690"/>
    </row>
    <row r="342" spans="2:15" s="48" customFormat="1" ht="15.75" customHeight="1" x14ac:dyDescent="0.25">
      <c r="B342" s="1378"/>
      <c r="C342" s="1300"/>
      <c r="D342" s="1243"/>
      <c r="E342" s="673"/>
      <c r="F342" s="1379"/>
      <c r="G342" s="1197"/>
      <c r="H342" s="1230"/>
      <c r="I342" s="1230"/>
      <c r="J342" s="1300"/>
      <c r="K342" s="1243"/>
      <c r="L342" s="1300"/>
      <c r="M342" s="690"/>
      <c r="N342" s="690"/>
      <c r="O342" s="690"/>
    </row>
    <row r="343" spans="2:15" s="48" customFormat="1" ht="15.75" customHeight="1" x14ac:dyDescent="0.25">
      <c r="B343" s="1378"/>
      <c r="C343" s="1300"/>
      <c r="D343" s="1243"/>
      <c r="E343" s="673"/>
      <c r="F343" s="1379"/>
      <c r="G343" s="1197"/>
      <c r="H343" s="1230"/>
      <c r="I343" s="1230"/>
      <c r="J343" s="1300"/>
      <c r="K343" s="1243"/>
      <c r="L343" s="1300"/>
      <c r="M343" s="690"/>
      <c r="N343" s="690"/>
      <c r="O343" s="690"/>
    </row>
    <row r="344" spans="2:15" s="48" customFormat="1" ht="15.75" customHeight="1" x14ac:dyDescent="0.25">
      <c r="B344" s="1378"/>
      <c r="C344" s="1300"/>
      <c r="D344" s="1243"/>
      <c r="E344" s="673"/>
      <c r="F344" s="1379"/>
      <c r="G344" s="1197"/>
      <c r="H344" s="1230"/>
      <c r="I344" s="1230"/>
      <c r="J344" s="1300"/>
      <c r="K344" s="1243"/>
      <c r="L344" s="1300"/>
      <c r="M344" s="690"/>
      <c r="N344" s="690"/>
      <c r="O344" s="690"/>
    </row>
    <row r="345" spans="2:15" s="48" customFormat="1" ht="15.75" customHeight="1" x14ac:dyDescent="0.25">
      <c r="B345" s="1378"/>
      <c r="C345" s="1300"/>
      <c r="D345" s="1243"/>
      <c r="E345" s="673"/>
      <c r="F345" s="1379"/>
      <c r="G345" s="1197"/>
      <c r="H345" s="1230"/>
      <c r="I345" s="1230"/>
      <c r="J345" s="1300"/>
      <c r="K345" s="1243"/>
      <c r="L345" s="1300"/>
      <c r="M345" s="690"/>
      <c r="N345" s="690"/>
      <c r="O345" s="690"/>
    </row>
    <row r="346" spans="2:15" s="48" customFormat="1" ht="15.75" customHeight="1" x14ac:dyDescent="0.25">
      <c r="B346" s="1378"/>
      <c r="C346" s="1300"/>
      <c r="D346" s="1243"/>
      <c r="E346" s="673"/>
      <c r="F346" s="1379"/>
      <c r="G346" s="1197"/>
      <c r="H346" s="1230"/>
      <c r="I346" s="1230"/>
      <c r="J346" s="1300"/>
      <c r="K346" s="1243"/>
      <c r="L346" s="1300"/>
      <c r="M346" s="690"/>
      <c r="N346" s="690"/>
      <c r="O346" s="690"/>
    </row>
    <row r="347" spans="2:15" s="48" customFormat="1" ht="15.75" customHeight="1" x14ac:dyDescent="0.25">
      <c r="B347" s="1378"/>
      <c r="C347" s="1300"/>
      <c r="D347" s="1243"/>
      <c r="E347" s="673"/>
      <c r="F347" s="1379"/>
      <c r="G347" s="1197"/>
      <c r="H347" s="1230"/>
      <c r="I347" s="1230"/>
      <c r="J347" s="1300"/>
      <c r="K347" s="1243"/>
      <c r="L347" s="1300"/>
      <c r="M347" s="690"/>
      <c r="N347" s="690"/>
      <c r="O347" s="690"/>
    </row>
    <row r="348" spans="2:15" s="48" customFormat="1" ht="15.75" customHeight="1" x14ac:dyDescent="0.25">
      <c r="B348" s="1378"/>
      <c r="C348" s="1300"/>
      <c r="D348" s="1243"/>
      <c r="E348" s="673"/>
      <c r="F348" s="1379"/>
      <c r="G348" s="1197"/>
      <c r="H348" s="1230"/>
      <c r="I348" s="1230"/>
      <c r="J348" s="1300"/>
      <c r="K348" s="1243"/>
      <c r="L348" s="1300"/>
      <c r="M348" s="690"/>
      <c r="N348" s="690"/>
      <c r="O348" s="690"/>
    </row>
    <row r="349" spans="2:15" s="48" customFormat="1" ht="15.75" customHeight="1" x14ac:dyDescent="0.25">
      <c r="B349" s="1378"/>
      <c r="C349" s="1300"/>
      <c r="D349" s="1243"/>
      <c r="E349" s="673"/>
      <c r="F349" s="1379"/>
      <c r="G349" s="1197"/>
      <c r="H349" s="1230"/>
      <c r="I349" s="1230"/>
      <c r="J349" s="1300"/>
      <c r="K349" s="1243"/>
      <c r="L349" s="1300"/>
      <c r="M349" s="690"/>
      <c r="N349" s="690"/>
      <c r="O349" s="690"/>
    </row>
    <row r="350" spans="2:15" s="48" customFormat="1" ht="15.75" customHeight="1" x14ac:dyDescent="0.25">
      <c r="B350" s="1378"/>
      <c r="C350" s="1300"/>
      <c r="D350" s="1243"/>
      <c r="E350" s="673"/>
      <c r="F350" s="1379"/>
      <c r="G350" s="1197"/>
      <c r="H350" s="1230"/>
      <c r="I350" s="1230"/>
      <c r="J350" s="1300"/>
      <c r="K350" s="1243"/>
      <c r="L350" s="1300"/>
      <c r="M350" s="690"/>
      <c r="N350" s="690"/>
      <c r="O350" s="690"/>
    </row>
    <row r="351" spans="2:15" s="48" customFormat="1" ht="15.75" customHeight="1" x14ac:dyDescent="0.25">
      <c r="B351" s="1378"/>
      <c r="C351" s="1300"/>
      <c r="D351" s="1243"/>
      <c r="E351" s="673"/>
      <c r="F351" s="1379"/>
      <c r="G351" s="1197"/>
      <c r="H351" s="1230"/>
      <c r="I351" s="1230"/>
      <c r="J351" s="1300"/>
      <c r="K351" s="1243"/>
      <c r="L351" s="1300"/>
      <c r="M351" s="690"/>
      <c r="N351" s="690"/>
      <c r="O351" s="690"/>
    </row>
    <row r="352" spans="2:15" s="48" customFormat="1" ht="15.75" customHeight="1" x14ac:dyDescent="0.25">
      <c r="B352" s="1378"/>
      <c r="C352" s="1300"/>
      <c r="D352" s="1243"/>
      <c r="E352" s="673"/>
      <c r="F352" s="1379"/>
      <c r="G352" s="1197"/>
      <c r="H352" s="1230"/>
      <c r="I352" s="1230"/>
      <c r="J352" s="1300"/>
      <c r="K352" s="1243"/>
      <c r="L352" s="1300"/>
      <c r="M352" s="690"/>
      <c r="N352" s="690"/>
      <c r="O352" s="690"/>
    </row>
    <row r="353" spans="2:15" s="48" customFormat="1" ht="15.75" customHeight="1" x14ac:dyDescent="0.25">
      <c r="B353" s="1378"/>
      <c r="C353" s="1300"/>
      <c r="D353" s="1243"/>
      <c r="E353" s="673"/>
      <c r="F353" s="1379"/>
      <c r="G353" s="1197"/>
      <c r="H353" s="1230"/>
      <c r="I353" s="1230"/>
      <c r="J353" s="1300"/>
      <c r="K353" s="1243"/>
      <c r="L353" s="1300"/>
      <c r="M353" s="690"/>
      <c r="N353" s="690"/>
      <c r="O353" s="690"/>
    </row>
    <row r="354" spans="2:15" s="48" customFormat="1" ht="15.75" customHeight="1" x14ac:dyDescent="0.25">
      <c r="B354" s="1378"/>
      <c r="C354" s="1300"/>
      <c r="D354" s="1243"/>
      <c r="E354" s="673"/>
      <c r="F354" s="1379"/>
      <c r="G354" s="1197"/>
      <c r="H354" s="1230"/>
      <c r="I354" s="1230"/>
      <c r="J354" s="1300"/>
      <c r="K354" s="1243"/>
      <c r="L354" s="1300"/>
      <c r="M354" s="690"/>
      <c r="N354" s="690"/>
      <c r="O354" s="690"/>
    </row>
    <row r="355" spans="2:15" s="48" customFormat="1" ht="15.75" customHeight="1" x14ac:dyDescent="0.25">
      <c r="B355" s="1378"/>
      <c r="C355" s="1300"/>
      <c r="D355" s="1243"/>
      <c r="E355" s="673"/>
      <c r="F355" s="1379"/>
      <c r="G355" s="1197"/>
      <c r="H355" s="1230"/>
      <c r="I355" s="1230"/>
      <c r="J355" s="1300"/>
      <c r="K355" s="1243"/>
      <c r="L355" s="1300"/>
      <c r="M355" s="690"/>
      <c r="N355" s="690"/>
      <c r="O355" s="690"/>
    </row>
    <row r="356" spans="2:15" s="48" customFormat="1" ht="15.75" customHeight="1" x14ac:dyDescent="0.25">
      <c r="B356" s="1378"/>
      <c r="C356" s="1300"/>
      <c r="D356" s="1243"/>
      <c r="E356" s="673"/>
      <c r="F356" s="1379"/>
      <c r="G356" s="1197"/>
      <c r="H356" s="1230"/>
      <c r="I356" s="1230"/>
      <c r="J356" s="1300"/>
      <c r="K356" s="1243"/>
      <c r="L356" s="1300"/>
      <c r="M356" s="690"/>
      <c r="N356" s="690"/>
      <c r="O356" s="690"/>
    </row>
    <row r="357" spans="2:15" s="48" customFormat="1" ht="15.75" customHeight="1" x14ac:dyDescent="0.25">
      <c r="B357" s="1378"/>
      <c r="C357" s="1300"/>
      <c r="D357" s="1243"/>
      <c r="E357" s="673"/>
      <c r="F357" s="1379"/>
      <c r="G357" s="1197"/>
      <c r="H357" s="1230"/>
      <c r="I357" s="1230"/>
      <c r="J357" s="1300"/>
      <c r="K357" s="1243"/>
      <c r="L357" s="1300"/>
      <c r="M357" s="690"/>
      <c r="N357" s="690"/>
      <c r="O357" s="690"/>
    </row>
    <row r="358" spans="2:15" s="48" customFormat="1" ht="15.75" customHeight="1" x14ac:dyDescent="0.25">
      <c r="B358" s="1378"/>
      <c r="C358" s="1300"/>
      <c r="D358" s="1243"/>
      <c r="E358" s="673"/>
      <c r="F358" s="1379"/>
      <c r="G358" s="1197"/>
      <c r="H358" s="1230"/>
      <c r="I358" s="1230"/>
      <c r="J358" s="1300"/>
      <c r="K358" s="1243"/>
      <c r="L358" s="1300"/>
      <c r="M358" s="690"/>
      <c r="N358" s="690"/>
      <c r="O358" s="690"/>
    </row>
    <row r="359" spans="2:15" s="48" customFormat="1" ht="15.75" customHeight="1" x14ac:dyDescent="0.25">
      <c r="B359" s="1378"/>
      <c r="C359" s="1300"/>
      <c r="D359" s="1243"/>
      <c r="E359" s="673"/>
      <c r="F359" s="1379"/>
      <c r="G359" s="1197"/>
      <c r="H359" s="1230"/>
      <c r="I359" s="1230"/>
      <c r="J359" s="1300"/>
      <c r="K359" s="1243"/>
      <c r="L359" s="1300"/>
      <c r="M359" s="690"/>
      <c r="N359" s="690"/>
      <c r="O359" s="690"/>
    </row>
    <row r="360" spans="2:15" s="48" customFormat="1" ht="15.75" customHeight="1" x14ac:dyDescent="0.25">
      <c r="C360" s="684"/>
      <c r="D360" s="1243"/>
      <c r="E360" s="673"/>
      <c r="F360" s="1379"/>
      <c r="G360" s="1197"/>
      <c r="H360" s="1230"/>
      <c r="I360" s="1230"/>
      <c r="J360" s="1300"/>
      <c r="K360" s="1243"/>
      <c r="L360" s="1300"/>
      <c r="M360" s="690"/>
      <c r="N360" s="690"/>
      <c r="O360" s="690"/>
    </row>
    <row r="361" spans="2:15" s="48" customFormat="1" ht="15.75" customHeight="1" x14ac:dyDescent="0.25">
      <c r="C361" s="684"/>
      <c r="D361" s="1243"/>
      <c r="E361" s="673"/>
      <c r="F361" s="1379"/>
      <c r="G361" s="1197"/>
      <c r="H361" s="1230"/>
      <c r="I361" s="1230"/>
      <c r="J361" s="1300"/>
      <c r="K361" s="1243"/>
      <c r="L361" s="1300"/>
      <c r="M361" s="690"/>
      <c r="N361" s="690"/>
      <c r="O361" s="690"/>
    </row>
    <row r="362" spans="2:15" s="48" customFormat="1" ht="15.75" customHeight="1" x14ac:dyDescent="0.25">
      <c r="C362" s="684"/>
      <c r="D362" s="1243"/>
      <c r="E362" s="673"/>
      <c r="F362" s="1379"/>
      <c r="G362" s="1197"/>
      <c r="H362" s="1230"/>
      <c r="I362" s="1230"/>
      <c r="J362" s="1300"/>
      <c r="K362" s="1243"/>
      <c r="L362" s="1300"/>
      <c r="M362" s="690"/>
      <c r="N362" s="690"/>
      <c r="O362" s="690"/>
    </row>
    <row r="363" spans="2:15" s="48" customFormat="1" ht="15.75" customHeight="1" x14ac:dyDescent="0.25">
      <c r="C363" s="684"/>
      <c r="D363" s="1243"/>
      <c r="E363" s="673"/>
      <c r="F363" s="1379"/>
      <c r="G363" s="1197"/>
      <c r="H363" s="1230"/>
      <c r="I363" s="1230"/>
      <c r="J363" s="1300"/>
      <c r="K363" s="1243"/>
      <c r="L363" s="1300"/>
      <c r="M363" s="690"/>
      <c r="N363" s="690"/>
      <c r="O363" s="690"/>
    </row>
    <row r="364" spans="2:15" s="48" customFormat="1" ht="15.75" customHeight="1" x14ac:dyDescent="0.25">
      <c r="C364" s="684"/>
      <c r="D364" s="791"/>
      <c r="E364" s="673"/>
      <c r="F364" s="1379"/>
      <c r="G364" s="1197"/>
      <c r="H364" s="1230"/>
      <c r="I364" s="1230"/>
      <c r="J364" s="1300"/>
      <c r="K364" s="1243"/>
      <c r="L364" s="1300"/>
      <c r="M364" s="690"/>
      <c r="N364" s="690"/>
      <c r="O364" s="690"/>
    </row>
    <row r="365" spans="2:15" s="48" customFormat="1" ht="15.75" customHeight="1" x14ac:dyDescent="0.25">
      <c r="C365" s="684"/>
      <c r="D365" s="791"/>
      <c r="E365" s="673"/>
      <c r="F365" s="1379"/>
      <c r="G365" s="1197"/>
      <c r="H365" s="1230"/>
      <c r="I365" s="1230"/>
      <c r="J365" s="1300"/>
      <c r="K365" s="1243"/>
      <c r="L365" s="1300"/>
      <c r="M365" s="690"/>
      <c r="N365" s="690"/>
      <c r="O365" s="690"/>
    </row>
    <row r="366" spans="2:15" s="48" customFormat="1" ht="15.75" customHeight="1" x14ac:dyDescent="0.25">
      <c r="C366" s="684"/>
      <c r="D366" s="791"/>
      <c r="E366" s="673"/>
      <c r="F366" s="1379"/>
      <c r="G366" s="1197"/>
      <c r="H366" s="1230"/>
      <c r="I366" s="1230"/>
      <c r="J366" s="1300"/>
      <c r="K366" s="1243"/>
      <c r="L366" s="1300"/>
      <c r="M366" s="690"/>
      <c r="N366" s="690"/>
      <c r="O366" s="690"/>
    </row>
    <row r="367" spans="2:15" s="48" customFormat="1" ht="15.75" customHeight="1" x14ac:dyDescent="0.25">
      <c r="C367" s="684"/>
      <c r="D367" s="791"/>
      <c r="E367" s="673"/>
      <c r="F367" s="1379"/>
      <c r="G367" s="1197"/>
      <c r="H367" s="1230"/>
      <c r="I367" s="1230"/>
      <c r="J367" s="1300"/>
      <c r="K367" s="1243"/>
      <c r="L367" s="1300"/>
      <c r="M367" s="690"/>
      <c r="N367" s="690"/>
      <c r="O367" s="690"/>
    </row>
    <row r="368" spans="2:15" s="48" customFormat="1" ht="15.75" customHeight="1" x14ac:dyDescent="0.25">
      <c r="C368" s="684"/>
      <c r="D368" s="791"/>
      <c r="E368" s="673"/>
      <c r="F368" s="813"/>
      <c r="G368" s="800"/>
      <c r="H368" s="673"/>
      <c r="I368" s="673"/>
      <c r="J368" s="684"/>
      <c r="K368" s="791"/>
      <c r="L368" s="684"/>
      <c r="M368" s="690"/>
      <c r="N368" s="690"/>
      <c r="O368" s="690"/>
    </row>
    <row r="369" spans="3:15" s="48" customFormat="1" ht="15.75" customHeight="1" x14ac:dyDescent="0.25">
      <c r="C369" s="684"/>
      <c r="D369" s="791"/>
      <c r="E369" s="673"/>
      <c r="F369" s="813"/>
      <c r="G369" s="800"/>
      <c r="H369" s="673"/>
      <c r="I369" s="673"/>
      <c r="J369" s="684"/>
      <c r="K369" s="791"/>
      <c r="L369" s="684"/>
      <c r="M369" s="690"/>
      <c r="N369" s="690"/>
      <c r="O369" s="690"/>
    </row>
    <row r="370" spans="3:15" s="48" customFormat="1" ht="15.75" customHeight="1" x14ac:dyDescent="0.25">
      <c r="C370" s="684"/>
      <c r="D370" s="791"/>
      <c r="E370" s="673"/>
      <c r="F370" s="813"/>
      <c r="G370" s="800"/>
      <c r="H370" s="673"/>
      <c r="I370" s="673"/>
      <c r="J370" s="684"/>
      <c r="K370" s="791"/>
      <c r="L370" s="684"/>
      <c r="M370" s="690"/>
      <c r="N370" s="690"/>
      <c r="O370" s="690"/>
    </row>
    <row r="371" spans="3:15" s="48" customFormat="1" ht="15.75" customHeight="1" x14ac:dyDescent="0.25">
      <c r="C371" s="684"/>
      <c r="D371" s="791"/>
      <c r="E371" s="673"/>
      <c r="F371" s="813"/>
      <c r="G371" s="800"/>
      <c r="H371" s="673"/>
      <c r="I371" s="673"/>
      <c r="J371" s="684"/>
      <c r="K371" s="791"/>
      <c r="L371" s="684"/>
      <c r="M371" s="690"/>
      <c r="N371" s="690"/>
      <c r="O371" s="690"/>
    </row>
    <row r="372" spans="3:15" s="48" customFormat="1" ht="40.5" customHeight="1" x14ac:dyDescent="0.25">
      <c r="C372" s="684"/>
      <c r="D372" s="791"/>
      <c r="E372" s="673"/>
      <c r="F372" s="813"/>
      <c r="G372" s="800"/>
      <c r="H372" s="673"/>
      <c r="I372" s="673"/>
      <c r="J372" s="684"/>
      <c r="K372" s="791"/>
      <c r="L372" s="684"/>
      <c r="M372" s="690"/>
      <c r="N372" s="690"/>
      <c r="O372" s="690"/>
    </row>
    <row r="373" spans="3:15" s="48" customFormat="1" ht="40.5" customHeight="1" x14ac:dyDescent="0.25">
      <c r="C373" s="684"/>
      <c r="D373" s="791"/>
      <c r="E373" s="673"/>
      <c r="F373" s="813"/>
      <c r="G373" s="800"/>
      <c r="H373" s="673"/>
      <c r="I373" s="673"/>
      <c r="J373" s="684"/>
      <c r="K373" s="791"/>
      <c r="L373" s="684"/>
      <c r="M373" s="690"/>
      <c r="N373" s="690"/>
      <c r="O373" s="690"/>
    </row>
    <row r="374" spans="3:15" s="48" customFormat="1" ht="40.5" customHeight="1" x14ac:dyDescent="0.25">
      <c r="C374" s="684"/>
      <c r="D374" s="791"/>
      <c r="E374" s="673"/>
      <c r="F374" s="813"/>
      <c r="G374" s="800"/>
      <c r="H374" s="673"/>
      <c r="I374" s="673"/>
      <c r="J374" s="684"/>
      <c r="K374" s="791"/>
      <c r="L374" s="684"/>
      <c r="M374" s="690"/>
      <c r="N374" s="690"/>
      <c r="O374" s="690"/>
    </row>
    <row r="375" spans="3:15" s="48" customFormat="1" ht="40.5" customHeight="1" x14ac:dyDescent="0.25">
      <c r="C375" s="684"/>
      <c r="D375" s="791"/>
      <c r="E375" s="673"/>
      <c r="F375" s="813"/>
      <c r="G375" s="800"/>
      <c r="H375" s="673"/>
      <c r="I375" s="673"/>
      <c r="J375" s="684"/>
      <c r="K375" s="791"/>
      <c r="L375" s="684"/>
      <c r="M375" s="690"/>
      <c r="N375" s="690"/>
      <c r="O375" s="690"/>
    </row>
    <row r="376" spans="3:15" s="48" customFormat="1" x14ac:dyDescent="0.25">
      <c r="D376" s="791"/>
      <c r="E376" s="673"/>
      <c r="F376" s="813"/>
      <c r="G376" s="800"/>
      <c r="H376" s="673"/>
      <c r="I376" s="673"/>
      <c r="J376" s="684"/>
      <c r="K376" s="791"/>
      <c r="L376" s="684"/>
      <c r="M376" s="690"/>
      <c r="N376" s="690"/>
      <c r="O376" s="690"/>
    </row>
    <row r="377" spans="3:15" s="48" customFormat="1" x14ac:dyDescent="0.25">
      <c r="D377" s="791"/>
      <c r="E377" s="673"/>
      <c r="F377" s="813"/>
      <c r="G377" s="800"/>
      <c r="H377" s="673"/>
      <c r="I377" s="673"/>
      <c r="J377" s="684"/>
      <c r="K377" s="791"/>
      <c r="L377" s="684"/>
      <c r="M377" s="690"/>
      <c r="N377" s="690"/>
      <c r="O377" s="690"/>
    </row>
    <row r="378" spans="3:15" s="48" customFormat="1" x14ac:dyDescent="0.25">
      <c r="D378" s="791"/>
      <c r="E378" s="673"/>
      <c r="F378" s="813"/>
      <c r="G378" s="800"/>
      <c r="H378" s="673"/>
      <c r="I378" s="673"/>
      <c r="J378" s="684"/>
      <c r="K378" s="791"/>
      <c r="L378" s="684"/>
      <c r="M378" s="690"/>
      <c r="N378" s="690"/>
      <c r="O378" s="690"/>
    </row>
    <row r="379" spans="3:15" s="48" customFormat="1" x14ac:dyDescent="0.25">
      <c r="D379" s="791"/>
      <c r="E379" s="673"/>
      <c r="F379" s="813"/>
      <c r="G379" s="800"/>
      <c r="H379" s="673"/>
      <c r="I379" s="673"/>
      <c r="J379" s="684"/>
      <c r="K379" s="791"/>
      <c r="L379" s="684"/>
      <c r="M379" s="690"/>
      <c r="N379" s="690"/>
      <c r="O379" s="690"/>
    </row>
    <row r="380" spans="3:15" s="48" customFormat="1" x14ac:dyDescent="0.25">
      <c r="D380" s="1300"/>
      <c r="E380" s="673"/>
      <c r="F380" s="813"/>
      <c r="G380" s="800"/>
      <c r="H380" s="673"/>
      <c r="I380" s="673"/>
      <c r="J380" s="684"/>
      <c r="K380" s="791"/>
      <c r="L380" s="684"/>
      <c r="M380" s="690"/>
      <c r="N380" s="690"/>
      <c r="O380" s="690"/>
    </row>
    <row r="381" spans="3:15" s="48" customFormat="1" x14ac:dyDescent="0.25">
      <c r="D381" s="1300"/>
      <c r="E381" s="673"/>
      <c r="F381" s="813"/>
      <c r="G381" s="800"/>
      <c r="H381" s="673"/>
      <c r="I381" s="673"/>
      <c r="J381" s="684"/>
      <c r="K381" s="791"/>
      <c r="L381" s="684"/>
      <c r="M381" s="690"/>
      <c r="N381" s="690"/>
      <c r="O381" s="690"/>
    </row>
    <row r="382" spans="3:15" s="48" customFormat="1" x14ac:dyDescent="0.25">
      <c r="D382" s="1300"/>
      <c r="E382" s="673"/>
      <c r="F382" s="813"/>
      <c r="G382" s="800"/>
      <c r="H382" s="673"/>
      <c r="I382" s="673"/>
      <c r="J382" s="684"/>
      <c r="K382" s="791"/>
      <c r="L382" s="684"/>
      <c r="M382" s="690"/>
      <c r="N382" s="690"/>
      <c r="O382" s="690"/>
    </row>
    <row r="383" spans="3:15" s="48" customFormat="1" x14ac:dyDescent="0.25">
      <c r="D383" s="1300"/>
      <c r="E383" s="673"/>
      <c r="F383" s="813"/>
      <c r="G383" s="800"/>
      <c r="H383" s="673"/>
      <c r="I383" s="673"/>
      <c r="J383" s="684"/>
      <c r="K383" s="791"/>
      <c r="L383" s="684"/>
      <c r="M383" s="690"/>
      <c r="N383" s="690"/>
      <c r="O383" s="690"/>
    </row>
    <row r="384" spans="3:15" s="48" customFormat="1" x14ac:dyDescent="0.25">
      <c r="D384" s="1300"/>
      <c r="E384" s="673"/>
      <c r="F384" s="1230"/>
      <c r="G384" s="1197"/>
      <c r="H384" s="1230"/>
      <c r="I384" s="1230"/>
      <c r="J384" s="1230"/>
      <c r="K384" s="1230"/>
      <c r="L384" s="1230"/>
      <c r="M384" s="690"/>
      <c r="N384" s="690"/>
      <c r="O384" s="690"/>
    </row>
    <row r="385" spans="4:15" x14ac:dyDescent="0.25">
      <c r="D385" s="1300"/>
      <c r="E385" s="673"/>
      <c r="F385" s="1230"/>
      <c r="G385" s="1197"/>
      <c r="H385" s="1230"/>
      <c r="I385" s="1230"/>
      <c r="J385" s="1230"/>
      <c r="K385" s="1230"/>
      <c r="L385" s="1230"/>
      <c r="M385" s="690"/>
      <c r="N385" s="690"/>
      <c r="O385" s="690"/>
    </row>
    <row r="386" spans="4:15" x14ac:dyDescent="0.25">
      <c r="D386" s="1300"/>
      <c r="E386" s="673"/>
      <c r="F386" s="1230"/>
      <c r="G386" s="1197"/>
      <c r="H386" s="1230"/>
      <c r="I386" s="1230"/>
      <c r="J386" s="1230"/>
      <c r="K386" s="1230"/>
      <c r="L386" s="1230"/>
      <c r="M386" s="690"/>
      <c r="N386" s="690"/>
      <c r="O386" s="690"/>
    </row>
    <row r="387" spans="4:15" x14ac:dyDescent="0.25">
      <c r="D387" s="1300"/>
      <c r="E387" s="673"/>
      <c r="F387" s="1230"/>
      <c r="G387" s="1197"/>
      <c r="H387" s="1230"/>
      <c r="I387" s="1230"/>
      <c r="J387" s="1230"/>
      <c r="K387" s="1230"/>
      <c r="L387" s="1230"/>
      <c r="M387" s="690"/>
      <c r="N387" s="690"/>
      <c r="O387" s="690"/>
    </row>
    <row r="388" spans="4:15" x14ac:dyDescent="0.25">
      <c r="F388" s="1230"/>
      <c r="G388" s="1197"/>
      <c r="H388" s="1230"/>
      <c r="I388" s="1230"/>
      <c r="J388" s="1230"/>
      <c r="K388" s="1230"/>
      <c r="L388" s="1230"/>
      <c r="M388" s="690"/>
      <c r="N388" s="690"/>
      <c r="O388" s="690"/>
    </row>
    <row r="389" spans="4:15" x14ac:dyDescent="0.25">
      <c r="D389" s="37"/>
      <c r="E389" s="37"/>
      <c r="F389" s="1230"/>
      <c r="G389" s="1197"/>
      <c r="H389" s="1230"/>
      <c r="I389" s="1230"/>
      <c r="J389" s="1230"/>
      <c r="K389" s="1230"/>
      <c r="L389" s="1230"/>
      <c r="M389" s="690"/>
      <c r="N389" s="690"/>
      <c r="O389" s="690"/>
    </row>
    <row r="390" spans="4:15" x14ac:dyDescent="0.25">
      <c r="D390" s="37"/>
      <c r="E390" s="37"/>
      <c r="F390" s="1230"/>
      <c r="G390" s="1197"/>
      <c r="H390" s="1230"/>
      <c r="I390" s="1230"/>
      <c r="J390" s="1230"/>
      <c r="K390" s="1230"/>
      <c r="L390" s="1230"/>
      <c r="M390" s="690"/>
      <c r="N390" s="690"/>
      <c r="O390" s="690"/>
    </row>
    <row r="391" spans="4:15" x14ac:dyDescent="0.25">
      <c r="D391" s="37"/>
      <c r="E391" s="37"/>
      <c r="F391" s="1230"/>
      <c r="G391" s="1197"/>
      <c r="H391" s="1230"/>
      <c r="I391" s="1230"/>
      <c r="J391" s="1230"/>
      <c r="K391" s="1230"/>
      <c r="L391" s="1230"/>
      <c r="M391" s="690"/>
      <c r="N391" s="690"/>
      <c r="O391" s="690"/>
    </row>
    <row r="392" spans="4:15" x14ac:dyDescent="0.25">
      <c r="D392" s="37"/>
      <c r="E392" s="37"/>
      <c r="G392" s="48"/>
      <c r="H392" s="48"/>
      <c r="M392" s="48"/>
    </row>
    <row r="393" spans="4:15" x14ac:dyDescent="0.25">
      <c r="D393" s="37"/>
      <c r="E393" s="37"/>
      <c r="F393" s="37"/>
      <c r="G393" s="37"/>
      <c r="H393" s="37"/>
      <c r="I393" s="37"/>
      <c r="J393" s="37"/>
      <c r="K393" s="37"/>
      <c r="L393" s="37"/>
      <c r="M393" s="37"/>
      <c r="N393" s="51"/>
      <c r="O393" s="51"/>
    </row>
    <row r="394" spans="4:15" x14ac:dyDescent="0.25">
      <c r="D394" s="37"/>
      <c r="E394" s="37"/>
      <c r="F394" s="37"/>
      <c r="G394" s="37"/>
      <c r="H394" s="37"/>
      <c r="I394" s="37"/>
      <c r="J394" s="37"/>
      <c r="K394" s="37"/>
      <c r="L394" s="37"/>
      <c r="M394" s="37"/>
      <c r="N394" s="51"/>
      <c r="O394" s="51"/>
    </row>
    <row r="395" spans="4:15" x14ac:dyDescent="0.25">
      <c r="F395" s="37"/>
      <c r="G395" s="37"/>
      <c r="H395" s="37"/>
      <c r="I395" s="37"/>
      <c r="J395" s="37"/>
      <c r="K395" s="37"/>
      <c r="L395" s="37"/>
      <c r="M395" s="37"/>
    </row>
    <row r="396" spans="4:15" x14ac:dyDescent="0.25">
      <c r="F396" s="37"/>
      <c r="G396" s="799"/>
      <c r="H396" s="309"/>
      <c r="I396" s="37"/>
      <c r="J396" s="37"/>
      <c r="K396" s="37"/>
      <c r="L396" s="37"/>
      <c r="M396" s="51"/>
    </row>
    <row r="397" spans="4:15" x14ac:dyDescent="0.25">
      <c r="F397" s="37"/>
      <c r="G397" s="814"/>
      <c r="H397" s="309"/>
      <c r="I397" s="37"/>
      <c r="J397" s="37"/>
      <c r="K397" s="37"/>
      <c r="L397" s="37"/>
      <c r="M397" s="51"/>
    </row>
    <row r="398" spans="4:15" x14ac:dyDescent="0.25">
      <c r="F398" s="37"/>
      <c r="G398" s="814"/>
      <c r="H398" s="309"/>
      <c r="I398" s="37"/>
      <c r="J398" s="37"/>
      <c r="K398" s="37"/>
      <c r="L398" s="37"/>
      <c r="M398" s="51"/>
    </row>
  </sheetData>
  <autoFilter ref="C14:O47" xr:uid="{00000000-0009-0000-0000-000013000000}"/>
  <mergeCells count="752">
    <mergeCell ref="D380:D383"/>
    <mergeCell ref="D384:D387"/>
    <mergeCell ref="F384:F387"/>
    <mergeCell ref="G384:G387"/>
    <mergeCell ref="L384:L387"/>
    <mergeCell ref="G364:G367"/>
    <mergeCell ref="H364:H367"/>
    <mergeCell ref="I364:I367"/>
    <mergeCell ref="J364:J367"/>
    <mergeCell ref="H384:H387"/>
    <mergeCell ref="I384:I387"/>
    <mergeCell ref="F388:F391"/>
    <mergeCell ref="G388:G391"/>
    <mergeCell ref="H388:H391"/>
    <mergeCell ref="K364:K367"/>
    <mergeCell ref="L364:L367"/>
    <mergeCell ref="G360:G363"/>
    <mergeCell ref="H360:H363"/>
    <mergeCell ref="I360:I363"/>
    <mergeCell ref="J360:J363"/>
    <mergeCell ref="K360:K363"/>
    <mergeCell ref="J384:J387"/>
    <mergeCell ref="K384:K387"/>
    <mergeCell ref="L388:L391"/>
    <mergeCell ref="I388:I391"/>
    <mergeCell ref="J388:J391"/>
    <mergeCell ref="K388:K391"/>
    <mergeCell ref="L356:L359"/>
    <mergeCell ref="B348:B359"/>
    <mergeCell ref="C348:C359"/>
    <mergeCell ref="G348:G351"/>
    <mergeCell ref="H348:H351"/>
    <mergeCell ref="I348:I351"/>
    <mergeCell ref="J348:J351"/>
    <mergeCell ref="D352:D363"/>
    <mergeCell ref="G352:G355"/>
    <mergeCell ref="H352:H355"/>
    <mergeCell ref="L360:L363"/>
    <mergeCell ref="J352:J355"/>
    <mergeCell ref="K352:K355"/>
    <mergeCell ref="L352:L355"/>
    <mergeCell ref="F356:F367"/>
    <mergeCell ref="G356:G359"/>
    <mergeCell ref="H356:H359"/>
    <mergeCell ref="I356:I359"/>
    <mergeCell ref="J356:J359"/>
    <mergeCell ref="K356:K359"/>
    <mergeCell ref="I352:I355"/>
    <mergeCell ref="K336:K339"/>
    <mergeCell ref="L336:L339"/>
    <mergeCell ref="L348:L351"/>
    <mergeCell ref="D340:D351"/>
    <mergeCell ref="G340:G343"/>
    <mergeCell ref="H340:H343"/>
    <mergeCell ref="I340:I343"/>
    <mergeCell ref="J340:J343"/>
    <mergeCell ref="K340:K343"/>
    <mergeCell ref="L340:L343"/>
    <mergeCell ref="F344:F355"/>
    <mergeCell ref="G344:G347"/>
    <mergeCell ref="H344:H347"/>
    <mergeCell ref="I344:I347"/>
    <mergeCell ref="J344:J347"/>
    <mergeCell ref="K344:K347"/>
    <mergeCell ref="L344:L347"/>
    <mergeCell ref="K348:K351"/>
    <mergeCell ref="K324:K327"/>
    <mergeCell ref="L324:L327"/>
    <mergeCell ref="B328:B335"/>
    <mergeCell ref="C328:C335"/>
    <mergeCell ref="G328:G331"/>
    <mergeCell ref="H328:H331"/>
    <mergeCell ref="I328:I331"/>
    <mergeCell ref="J328:J331"/>
    <mergeCell ref="K328:K331"/>
    <mergeCell ref="L328:L331"/>
    <mergeCell ref="D332:D339"/>
    <mergeCell ref="G332:G335"/>
    <mergeCell ref="H332:H335"/>
    <mergeCell ref="I332:I335"/>
    <mergeCell ref="J332:J335"/>
    <mergeCell ref="K332:K335"/>
    <mergeCell ref="L332:L335"/>
    <mergeCell ref="B336:B347"/>
    <mergeCell ref="C336:C347"/>
    <mergeCell ref="F336:F343"/>
    <mergeCell ref="G336:G339"/>
    <mergeCell ref="H336:H339"/>
    <mergeCell ref="I336:I339"/>
    <mergeCell ref="J336:J339"/>
    <mergeCell ref="B316:B327"/>
    <mergeCell ref="C316:C327"/>
    <mergeCell ref="G316:G319"/>
    <mergeCell ref="H316:H319"/>
    <mergeCell ref="I316:I319"/>
    <mergeCell ref="J316:J319"/>
    <mergeCell ref="G324:G327"/>
    <mergeCell ref="H324:H327"/>
    <mergeCell ref="I324:I327"/>
    <mergeCell ref="J324:J327"/>
    <mergeCell ref="D320:D331"/>
    <mergeCell ref="G320:G323"/>
    <mergeCell ref="H320:H323"/>
    <mergeCell ref="I320:I323"/>
    <mergeCell ref="J320:J323"/>
    <mergeCell ref="F324:F335"/>
    <mergeCell ref="K308:K311"/>
    <mergeCell ref="L308:L311"/>
    <mergeCell ref="F312:F323"/>
    <mergeCell ref="G312:G315"/>
    <mergeCell ref="H312:H315"/>
    <mergeCell ref="I312:I315"/>
    <mergeCell ref="J312:J315"/>
    <mergeCell ref="K312:K315"/>
    <mergeCell ref="L312:L315"/>
    <mergeCell ref="K316:K319"/>
    <mergeCell ref="L316:L319"/>
    <mergeCell ref="K320:K323"/>
    <mergeCell ref="L320:L323"/>
    <mergeCell ref="J300:J303"/>
    <mergeCell ref="B300:B303"/>
    <mergeCell ref="C300:C303"/>
    <mergeCell ref="F300:F307"/>
    <mergeCell ref="G300:G303"/>
    <mergeCell ref="H300:H303"/>
    <mergeCell ref="I300:I303"/>
    <mergeCell ref="K300:K303"/>
    <mergeCell ref="L300:L303"/>
    <mergeCell ref="B304:B315"/>
    <mergeCell ref="C304:C315"/>
    <mergeCell ref="D304:D307"/>
    <mergeCell ref="G304:G307"/>
    <mergeCell ref="H304:H307"/>
    <mergeCell ref="I304:I307"/>
    <mergeCell ref="J304:J307"/>
    <mergeCell ref="K304:K307"/>
    <mergeCell ref="L304:L307"/>
    <mergeCell ref="D308:D319"/>
    <mergeCell ref="F308:F311"/>
    <mergeCell ref="G308:G311"/>
    <mergeCell ref="H308:H311"/>
    <mergeCell ref="I308:I311"/>
    <mergeCell ref="J308:J311"/>
    <mergeCell ref="J288:J291"/>
    <mergeCell ref="F264:F295"/>
    <mergeCell ref="J264:J267"/>
    <mergeCell ref="G284:G287"/>
    <mergeCell ref="H284:H287"/>
    <mergeCell ref="K288:K291"/>
    <mergeCell ref="L288:L291"/>
    <mergeCell ref="B292:B299"/>
    <mergeCell ref="C292:C299"/>
    <mergeCell ref="D292:D295"/>
    <mergeCell ref="G292:G295"/>
    <mergeCell ref="H292:H295"/>
    <mergeCell ref="I292:I295"/>
    <mergeCell ref="J292:J295"/>
    <mergeCell ref="K292:K295"/>
    <mergeCell ref="L292:L295"/>
    <mergeCell ref="D296:D303"/>
    <mergeCell ref="F296:F299"/>
    <mergeCell ref="G296:G299"/>
    <mergeCell ref="H296:H299"/>
    <mergeCell ref="I296:I299"/>
    <mergeCell ref="J296:J299"/>
    <mergeCell ref="K296:K299"/>
    <mergeCell ref="L296:L299"/>
    <mergeCell ref="J284:J287"/>
    <mergeCell ref="K284:K287"/>
    <mergeCell ref="I268:I271"/>
    <mergeCell ref="J268:J271"/>
    <mergeCell ref="K268:K271"/>
    <mergeCell ref="J272:J275"/>
    <mergeCell ref="L284:L287"/>
    <mergeCell ref="L276:L279"/>
    <mergeCell ref="G280:G283"/>
    <mergeCell ref="H280:H283"/>
    <mergeCell ref="I280:I283"/>
    <mergeCell ref="J280:J283"/>
    <mergeCell ref="K280:K283"/>
    <mergeCell ref="H276:H279"/>
    <mergeCell ref="I276:I279"/>
    <mergeCell ref="J276:J279"/>
    <mergeCell ref="L280:L283"/>
    <mergeCell ref="K260:K263"/>
    <mergeCell ref="K264:K267"/>
    <mergeCell ref="G272:G275"/>
    <mergeCell ref="K276:K279"/>
    <mergeCell ref="G268:G271"/>
    <mergeCell ref="J256:J259"/>
    <mergeCell ref="K256:K259"/>
    <mergeCell ref="L264:L267"/>
    <mergeCell ref="L256:L259"/>
    <mergeCell ref="L260:L263"/>
    <mergeCell ref="H268:H271"/>
    <mergeCell ref="G264:G267"/>
    <mergeCell ref="H264:H267"/>
    <mergeCell ref="I264:I267"/>
    <mergeCell ref="K272:K275"/>
    <mergeCell ref="L272:L275"/>
    <mergeCell ref="G276:G279"/>
    <mergeCell ref="L268:L271"/>
    <mergeCell ref="H272:H275"/>
    <mergeCell ref="I272:I275"/>
    <mergeCell ref="B256:B287"/>
    <mergeCell ref="C256:C287"/>
    <mergeCell ref="G256:G259"/>
    <mergeCell ref="H256:H259"/>
    <mergeCell ref="I256:I259"/>
    <mergeCell ref="D260:D291"/>
    <mergeCell ref="G260:G263"/>
    <mergeCell ref="H260:H263"/>
    <mergeCell ref="I260:I263"/>
    <mergeCell ref="I284:I287"/>
    <mergeCell ref="B288:B291"/>
    <mergeCell ref="C288:C291"/>
    <mergeCell ref="G288:G291"/>
    <mergeCell ref="H288:H291"/>
    <mergeCell ref="I288:I291"/>
    <mergeCell ref="L236:L239"/>
    <mergeCell ref="D240:D259"/>
    <mergeCell ref="G240:G243"/>
    <mergeCell ref="H240:H243"/>
    <mergeCell ref="I240:I243"/>
    <mergeCell ref="J240:J243"/>
    <mergeCell ref="K240:K243"/>
    <mergeCell ref="L240:L243"/>
    <mergeCell ref="F244:F263"/>
    <mergeCell ref="G244:G247"/>
    <mergeCell ref="K244:K247"/>
    <mergeCell ref="L244:L247"/>
    <mergeCell ref="G248:G251"/>
    <mergeCell ref="H248:H251"/>
    <mergeCell ref="I248:I251"/>
    <mergeCell ref="J248:J251"/>
    <mergeCell ref="K248:K251"/>
    <mergeCell ref="L248:L251"/>
    <mergeCell ref="H252:H255"/>
    <mergeCell ref="I252:I255"/>
    <mergeCell ref="J252:J255"/>
    <mergeCell ref="K252:K255"/>
    <mergeCell ref="L252:L255"/>
    <mergeCell ref="J260:J263"/>
    <mergeCell ref="K236:K239"/>
    <mergeCell ref="B236:B255"/>
    <mergeCell ref="C236:C255"/>
    <mergeCell ref="G236:G239"/>
    <mergeCell ref="H236:H239"/>
    <mergeCell ref="I236:I239"/>
    <mergeCell ref="J236:J239"/>
    <mergeCell ref="H244:H247"/>
    <mergeCell ref="I244:I247"/>
    <mergeCell ref="J244:J247"/>
    <mergeCell ref="G252:G255"/>
    <mergeCell ref="B224:B235"/>
    <mergeCell ref="C224:C235"/>
    <mergeCell ref="D224:D227"/>
    <mergeCell ref="G224:G227"/>
    <mergeCell ref="H224:H227"/>
    <mergeCell ref="I224:I227"/>
    <mergeCell ref="J224:J227"/>
    <mergeCell ref="K224:K227"/>
    <mergeCell ref="L224:L227"/>
    <mergeCell ref="D228:D239"/>
    <mergeCell ref="F228:F231"/>
    <mergeCell ref="G228:G231"/>
    <mergeCell ref="H228:H231"/>
    <mergeCell ref="I228:I231"/>
    <mergeCell ref="J228:J231"/>
    <mergeCell ref="K228:K231"/>
    <mergeCell ref="L228:L231"/>
    <mergeCell ref="F232:F243"/>
    <mergeCell ref="G232:G235"/>
    <mergeCell ref="H232:H235"/>
    <mergeCell ref="I232:I235"/>
    <mergeCell ref="J232:J235"/>
    <mergeCell ref="K232:K235"/>
    <mergeCell ref="L232:L235"/>
    <mergeCell ref="B220:B223"/>
    <mergeCell ref="C220:C223"/>
    <mergeCell ref="G220:G223"/>
    <mergeCell ref="H220:H223"/>
    <mergeCell ref="I220:I223"/>
    <mergeCell ref="J220:J223"/>
    <mergeCell ref="D204:D223"/>
    <mergeCell ref="G204:G207"/>
    <mergeCell ref="H204:H207"/>
    <mergeCell ref="I204:I207"/>
    <mergeCell ref="B200:B219"/>
    <mergeCell ref="C200:C219"/>
    <mergeCell ref="G200:G203"/>
    <mergeCell ref="H200:H203"/>
    <mergeCell ref="I200:I203"/>
    <mergeCell ref="J200:J203"/>
    <mergeCell ref="I212:I215"/>
    <mergeCell ref="J212:J215"/>
    <mergeCell ref="K212:K215"/>
    <mergeCell ref="I196:I199"/>
    <mergeCell ref="J196:J199"/>
    <mergeCell ref="K220:K223"/>
    <mergeCell ref="L204:L207"/>
    <mergeCell ref="F208:F227"/>
    <mergeCell ref="G208:G211"/>
    <mergeCell ref="H208:H211"/>
    <mergeCell ref="I208:I211"/>
    <mergeCell ref="J208:J211"/>
    <mergeCell ref="K208:K211"/>
    <mergeCell ref="L208:L211"/>
    <mergeCell ref="G212:G215"/>
    <mergeCell ref="H212:H215"/>
    <mergeCell ref="L212:L215"/>
    <mergeCell ref="G216:G219"/>
    <mergeCell ref="H216:H219"/>
    <mergeCell ref="I216:I219"/>
    <mergeCell ref="J216:J219"/>
    <mergeCell ref="K216:K219"/>
    <mergeCell ref="L216:L219"/>
    <mergeCell ref="L220:L223"/>
    <mergeCell ref="K188:K191"/>
    <mergeCell ref="L188:L191"/>
    <mergeCell ref="D192:D203"/>
    <mergeCell ref="G192:G195"/>
    <mergeCell ref="H192:H195"/>
    <mergeCell ref="I192:I195"/>
    <mergeCell ref="J192:J195"/>
    <mergeCell ref="K192:K195"/>
    <mergeCell ref="L192:L195"/>
    <mergeCell ref="F196:F207"/>
    <mergeCell ref="K196:K199"/>
    <mergeCell ref="L196:L199"/>
    <mergeCell ref="K200:K203"/>
    <mergeCell ref="L200:L203"/>
    <mergeCell ref="J204:J207"/>
    <mergeCell ref="K204:K207"/>
    <mergeCell ref="K176:K179"/>
    <mergeCell ref="L176:L179"/>
    <mergeCell ref="G180:G183"/>
    <mergeCell ref="H180:H183"/>
    <mergeCell ref="I180:I183"/>
    <mergeCell ref="J180:J183"/>
    <mergeCell ref="K180:K183"/>
    <mergeCell ref="L180:L183"/>
    <mergeCell ref="G184:G187"/>
    <mergeCell ref="H184:H187"/>
    <mergeCell ref="I184:I187"/>
    <mergeCell ref="J184:J187"/>
    <mergeCell ref="K184:K187"/>
    <mergeCell ref="L184:L187"/>
    <mergeCell ref="B168:B187"/>
    <mergeCell ref="C168:C187"/>
    <mergeCell ref="G168:G171"/>
    <mergeCell ref="H168:H171"/>
    <mergeCell ref="I168:I171"/>
    <mergeCell ref="J168:J171"/>
    <mergeCell ref="G176:G179"/>
    <mergeCell ref="H176:H179"/>
    <mergeCell ref="I176:I179"/>
    <mergeCell ref="J176:J179"/>
    <mergeCell ref="D172:D191"/>
    <mergeCell ref="G172:G175"/>
    <mergeCell ref="H172:H175"/>
    <mergeCell ref="I172:I175"/>
    <mergeCell ref="J172:J175"/>
    <mergeCell ref="F176:F195"/>
    <mergeCell ref="B188:B199"/>
    <mergeCell ref="C188:C199"/>
    <mergeCell ref="G188:G191"/>
    <mergeCell ref="H188:H191"/>
    <mergeCell ref="I188:I191"/>
    <mergeCell ref="J188:J191"/>
    <mergeCell ref="G196:G199"/>
    <mergeCell ref="H196:H199"/>
    <mergeCell ref="J152:J155"/>
    <mergeCell ref="K152:K155"/>
    <mergeCell ref="L152:L155"/>
    <mergeCell ref="F156:F175"/>
    <mergeCell ref="K156:K159"/>
    <mergeCell ref="L156:L159"/>
    <mergeCell ref="G160:G163"/>
    <mergeCell ref="H160:H163"/>
    <mergeCell ref="I160:I163"/>
    <mergeCell ref="J160:J163"/>
    <mergeCell ref="K160:K163"/>
    <mergeCell ref="L160:L163"/>
    <mergeCell ref="G164:G167"/>
    <mergeCell ref="H164:H167"/>
    <mergeCell ref="I164:I167"/>
    <mergeCell ref="J164:J167"/>
    <mergeCell ref="K164:K167"/>
    <mergeCell ref="L164:L167"/>
    <mergeCell ref="K168:K171"/>
    <mergeCell ref="L168:L171"/>
    <mergeCell ref="K172:K175"/>
    <mergeCell ref="L172:L175"/>
    <mergeCell ref="K140:K143"/>
    <mergeCell ref="L140:L143"/>
    <mergeCell ref="G144:G147"/>
    <mergeCell ref="H144:H147"/>
    <mergeCell ref="I144:I147"/>
    <mergeCell ref="J144:J147"/>
    <mergeCell ref="K144:K147"/>
    <mergeCell ref="L144:L147"/>
    <mergeCell ref="B148:B167"/>
    <mergeCell ref="C148:C167"/>
    <mergeCell ref="G148:G151"/>
    <mergeCell ref="H148:H151"/>
    <mergeCell ref="I148:I151"/>
    <mergeCell ref="J148:J151"/>
    <mergeCell ref="G156:G159"/>
    <mergeCell ref="H156:H159"/>
    <mergeCell ref="I156:I159"/>
    <mergeCell ref="J156:J159"/>
    <mergeCell ref="K148:K151"/>
    <mergeCell ref="L148:L151"/>
    <mergeCell ref="D152:D171"/>
    <mergeCell ref="G152:G155"/>
    <mergeCell ref="H152:H155"/>
    <mergeCell ref="I152:I155"/>
    <mergeCell ref="L128:L131"/>
    <mergeCell ref="B132:B147"/>
    <mergeCell ref="C132:C147"/>
    <mergeCell ref="D132:D135"/>
    <mergeCell ref="F132:F135"/>
    <mergeCell ref="G132:G135"/>
    <mergeCell ref="H132:H135"/>
    <mergeCell ref="I132:I135"/>
    <mergeCell ref="J132:J135"/>
    <mergeCell ref="K132:K135"/>
    <mergeCell ref="L132:L135"/>
    <mergeCell ref="D136:D151"/>
    <mergeCell ref="F136:F139"/>
    <mergeCell ref="G136:G139"/>
    <mergeCell ref="H136:H139"/>
    <mergeCell ref="I136:I139"/>
    <mergeCell ref="J136:J139"/>
    <mergeCell ref="K136:K139"/>
    <mergeCell ref="L136:L139"/>
    <mergeCell ref="F140:F155"/>
    <mergeCell ref="G140:G143"/>
    <mergeCell ref="H140:H143"/>
    <mergeCell ref="I140:I143"/>
    <mergeCell ref="J140:J143"/>
    <mergeCell ref="B128:B131"/>
    <mergeCell ref="C128:C131"/>
    <mergeCell ref="D128:D131"/>
    <mergeCell ref="F128:F131"/>
    <mergeCell ref="G128:G131"/>
    <mergeCell ref="H128:H131"/>
    <mergeCell ref="I128:I131"/>
    <mergeCell ref="J128:J131"/>
    <mergeCell ref="K128:K131"/>
    <mergeCell ref="L120:L123"/>
    <mergeCell ref="B124:B127"/>
    <mergeCell ref="C124:C127"/>
    <mergeCell ref="D124:D127"/>
    <mergeCell ref="F124:F127"/>
    <mergeCell ref="G124:G127"/>
    <mergeCell ref="H124:H127"/>
    <mergeCell ref="I124:I127"/>
    <mergeCell ref="J124:J127"/>
    <mergeCell ref="K124:K127"/>
    <mergeCell ref="L124:L127"/>
    <mergeCell ref="B120:B123"/>
    <mergeCell ref="C120:C123"/>
    <mergeCell ref="D120:D123"/>
    <mergeCell ref="F120:F123"/>
    <mergeCell ref="G120:G123"/>
    <mergeCell ref="H120:H123"/>
    <mergeCell ref="I120:I123"/>
    <mergeCell ref="J120:J123"/>
    <mergeCell ref="K120:K123"/>
    <mergeCell ref="L112:L115"/>
    <mergeCell ref="B116:B119"/>
    <mergeCell ref="C116:C119"/>
    <mergeCell ref="D116:D119"/>
    <mergeCell ref="F116:F119"/>
    <mergeCell ref="G116:G119"/>
    <mergeCell ref="H116:H119"/>
    <mergeCell ref="I116:I119"/>
    <mergeCell ref="J116:J119"/>
    <mergeCell ref="K116:K119"/>
    <mergeCell ref="L116:L119"/>
    <mergeCell ref="B112:B115"/>
    <mergeCell ref="C112:C115"/>
    <mergeCell ref="D112:D115"/>
    <mergeCell ref="F112:F115"/>
    <mergeCell ref="G112:G115"/>
    <mergeCell ref="H112:H115"/>
    <mergeCell ref="I112:I115"/>
    <mergeCell ref="J112:J115"/>
    <mergeCell ref="K112:K115"/>
    <mergeCell ref="L104:L107"/>
    <mergeCell ref="B108:B111"/>
    <mergeCell ref="C108:C111"/>
    <mergeCell ref="D108:D111"/>
    <mergeCell ref="F108:F111"/>
    <mergeCell ref="G108:G111"/>
    <mergeCell ref="H108:H111"/>
    <mergeCell ref="I108:I111"/>
    <mergeCell ref="J108:J111"/>
    <mergeCell ref="K108:K111"/>
    <mergeCell ref="L108:L111"/>
    <mergeCell ref="B104:B107"/>
    <mergeCell ref="C104:C107"/>
    <mergeCell ref="D104:D107"/>
    <mergeCell ref="F104:F107"/>
    <mergeCell ref="G104:G107"/>
    <mergeCell ref="H104:H107"/>
    <mergeCell ref="I104:I107"/>
    <mergeCell ref="J104:J107"/>
    <mergeCell ref="K104:K107"/>
    <mergeCell ref="L96:L99"/>
    <mergeCell ref="B100:B103"/>
    <mergeCell ref="C100:C103"/>
    <mergeCell ref="D100:D103"/>
    <mergeCell ref="F100:F103"/>
    <mergeCell ref="G100:G103"/>
    <mergeCell ref="H100:H103"/>
    <mergeCell ref="I100:I103"/>
    <mergeCell ref="J100:J103"/>
    <mergeCell ref="K100:K103"/>
    <mergeCell ref="L100:L103"/>
    <mergeCell ref="B96:B99"/>
    <mergeCell ref="C96:C99"/>
    <mergeCell ref="D96:D99"/>
    <mergeCell ref="F96:F99"/>
    <mergeCell ref="G96:G99"/>
    <mergeCell ref="H96:H99"/>
    <mergeCell ref="I96:I99"/>
    <mergeCell ref="J96:J99"/>
    <mergeCell ref="K96:K99"/>
    <mergeCell ref="L88:L91"/>
    <mergeCell ref="B92:B95"/>
    <mergeCell ref="C92:C95"/>
    <mergeCell ref="D92:D95"/>
    <mergeCell ref="E92:E93"/>
    <mergeCell ref="F92:F95"/>
    <mergeCell ref="G92:G95"/>
    <mergeCell ref="H92:H95"/>
    <mergeCell ref="I92:I95"/>
    <mergeCell ref="J92:J95"/>
    <mergeCell ref="K92:K95"/>
    <mergeCell ref="L92:L95"/>
    <mergeCell ref="B88:B91"/>
    <mergeCell ref="C88:C91"/>
    <mergeCell ref="D88:D91"/>
    <mergeCell ref="F88:F91"/>
    <mergeCell ref="G88:G91"/>
    <mergeCell ref="H88:H91"/>
    <mergeCell ref="I88:I91"/>
    <mergeCell ref="J88:J91"/>
    <mergeCell ref="K88:K91"/>
    <mergeCell ref="L80:L83"/>
    <mergeCell ref="B84:B87"/>
    <mergeCell ref="C84:C87"/>
    <mergeCell ref="D84:D87"/>
    <mergeCell ref="F84:F87"/>
    <mergeCell ref="G84:G87"/>
    <mergeCell ref="H84:H87"/>
    <mergeCell ref="I84:I87"/>
    <mergeCell ref="J84:J87"/>
    <mergeCell ref="K84:K87"/>
    <mergeCell ref="L84:L87"/>
    <mergeCell ref="B80:B83"/>
    <mergeCell ref="C80:C83"/>
    <mergeCell ref="D80:D83"/>
    <mergeCell ref="F80:F83"/>
    <mergeCell ref="G80:G83"/>
    <mergeCell ref="H80:H83"/>
    <mergeCell ref="I80:I83"/>
    <mergeCell ref="J80:J83"/>
    <mergeCell ref="K80:K83"/>
    <mergeCell ref="L72:L75"/>
    <mergeCell ref="B76:B79"/>
    <mergeCell ref="C76:C79"/>
    <mergeCell ref="D76:D79"/>
    <mergeCell ref="E76:E78"/>
    <mergeCell ref="F76:F79"/>
    <mergeCell ref="G76:G79"/>
    <mergeCell ref="H76:H79"/>
    <mergeCell ref="I76:I79"/>
    <mergeCell ref="J76:J79"/>
    <mergeCell ref="K76:K79"/>
    <mergeCell ref="L76:L79"/>
    <mergeCell ref="B72:B75"/>
    <mergeCell ref="C72:C75"/>
    <mergeCell ref="D72:D75"/>
    <mergeCell ref="F72:F75"/>
    <mergeCell ref="G72:G75"/>
    <mergeCell ref="H72:H75"/>
    <mergeCell ref="I72:I75"/>
    <mergeCell ref="J72:J75"/>
    <mergeCell ref="K72:K75"/>
    <mergeCell ref="L64:L67"/>
    <mergeCell ref="B68:B71"/>
    <mergeCell ref="C68:C71"/>
    <mergeCell ref="D68:D71"/>
    <mergeCell ref="F68:F71"/>
    <mergeCell ref="G68:G71"/>
    <mergeCell ref="H68:H71"/>
    <mergeCell ref="I68:I71"/>
    <mergeCell ref="J68:J71"/>
    <mergeCell ref="K68:K71"/>
    <mergeCell ref="L68:L71"/>
    <mergeCell ref="B64:B67"/>
    <mergeCell ref="C64:C67"/>
    <mergeCell ref="D64:D67"/>
    <mergeCell ref="F64:F67"/>
    <mergeCell ref="G64:G67"/>
    <mergeCell ref="H64:H67"/>
    <mergeCell ref="I64:I67"/>
    <mergeCell ref="J64:J67"/>
    <mergeCell ref="K64:K67"/>
    <mergeCell ref="L56:L59"/>
    <mergeCell ref="B60:B63"/>
    <mergeCell ref="C60:C63"/>
    <mergeCell ref="D60:D63"/>
    <mergeCell ref="F60:F63"/>
    <mergeCell ref="G60:G63"/>
    <mergeCell ref="H60:H63"/>
    <mergeCell ref="I60:I63"/>
    <mergeCell ref="J60:J63"/>
    <mergeCell ref="K60:K63"/>
    <mergeCell ref="L60:L63"/>
    <mergeCell ref="B56:B59"/>
    <mergeCell ref="C56:C59"/>
    <mergeCell ref="D56:D59"/>
    <mergeCell ref="F56:F59"/>
    <mergeCell ref="G56:G59"/>
    <mergeCell ref="H56:H59"/>
    <mergeCell ref="I56:I59"/>
    <mergeCell ref="J56:J59"/>
    <mergeCell ref="K56:K59"/>
    <mergeCell ref="L48:L51"/>
    <mergeCell ref="B52:B55"/>
    <mergeCell ref="C52:C55"/>
    <mergeCell ref="D52:D55"/>
    <mergeCell ref="F52:F55"/>
    <mergeCell ref="G52:G55"/>
    <mergeCell ref="H52:H55"/>
    <mergeCell ref="I52:I55"/>
    <mergeCell ref="J52:J55"/>
    <mergeCell ref="K52:K55"/>
    <mergeCell ref="L52:L55"/>
    <mergeCell ref="B48:B51"/>
    <mergeCell ref="C48:C51"/>
    <mergeCell ref="D48:D51"/>
    <mergeCell ref="F48:F51"/>
    <mergeCell ref="G48:G51"/>
    <mergeCell ref="H48:H51"/>
    <mergeCell ref="I48:I51"/>
    <mergeCell ref="J48:J51"/>
    <mergeCell ref="K48:K51"/>
    <mergeCell ref="K40:K43"/>
    <mergeCell ref="L40:L43"/>
    <mergeCell ref="B44:B47"/>
    <mergeCell ref="C44:C47"/>
    <mergeCell ref="D44:D47"/>
    <mergeCell ref="E44:E46"/>
    <mergeCell ref="F44:F47"/>
    <mergeCell ref="G44:G47"/>
    <mergeCell ref="H44:H47"/>
    <mergeCell ref="I44:I47"/>
    <mergeCell ref="J44:J47"/>
    <mergeCell ref="K44:K47"/>
    <mergeCell ref="L44:L47"/>
    <mergeCell ref="B40:B43"/>
    <mergeCell ref="C40:C43"/>
    <mergeCell ref="D40:D43"/>
    <mergeCell ref="E40:E42"/>
    <mergeCell ref="F40:F43"/>
    <mergeCell ref="G40:G43"/>
    <mergeCell ref="H40:H43"/>
    <mergeCell ref="I40:I43"/>
    <mergeCell ref="J40:J43"/>
    <mergeCell ref="L32:L35"/>
    <mergeCell ref="B36:B39"/>
    <mergeCell ref="C36:C39"/>
    <mergeCell ref="D36:D39"/>
    <mergeCell ref="F36:F39"/>
    <mergeCell ref="G36:G39"/>
    <mergeCell ref="H36:H39"/>
    <mergeCell ref="I36:I39"/>
    <mergeCell ref="J36:J39"/>
    <mergeCell ref="K36:K39"/>
    <mergeCell ref="L36:L39"/>
    <mergeCell ref="B32:B35"/>
    <mergeCell ref="C32:C35"/>
    <mergeCell ref="D32:D35"/>
    <mergeCell ref="F32:F35"/>
    <mergeCell ref="G32:G35"/>
    <mergeCell ref="H32:H35"/>
    <mergeCell ref="I32:I35"/>
    <mergeCell ref="J32:J35"/>
    <mergeCell ref="K32:K35"/>
    <mergeCell ref="I24:I27"/>
    <mergeCell ref="J24:J27"/>
    <mergeCell ref="K24:K27"/>
    <mergeCell ref="L24:L27"/>
    <mergeCell ref="B28:B31"/>
    <mergeCell ref="C28:C31"/>
    <mergeCell ref="D28:D31"/>
    <mergeCell ref="E28:E30"/>
    <mergeCell ref="F28:F31"/>
    <mergeCell ref="G28:G31"/>
    <mergeCell ref="H28:H31"/>
    <mergeCell ref="I28:I31"/>
    <mergeCell ref="J28:J31"/>
    <mergeCell ref="K28:K31"/>
    <mergeCell ref="L28:L31"/>
    <mergeCell ref="B24:H24"/>
    <mergeCell ref="C26:F26"/>
    <mergeCell ref="C27:D27"/>
    <mergeCell ref="B15:L15"/>
    <mergeCell ref="O16:O17"/>
    <mergeCell ref="I16:I17"/>
    <mergeCell ref="J16:J17"/>
    <mergeCell ref="K16:K17"/>
    <mergeCell ref="I20:I23"/>
    <mergeCell ref="J20:J23"/>
    <mergeCell ref="K20:K23"/>
    <mergeCell ref="L20:L23"/>
    <mergeCell ref="B20:B23"/>
    <mergeCell ref="C20:C23"/>
    <mergeCell ref="D20:D23"/>
    <mergeCell ref="F20:F23"/>
    <mergeCell ref="G20:G23"/>
    <mergeCell ref="H20:H23"/>
    <mergeCell ref="L16:L17"/>
    <mergeCell ref="M16:M17"/>
    <mergeCell ref="N16:N17"/>
    <mergeCell ref="G16:G17"/>
    <mergeCell ref="F16:F17"/>
    <mergeCell ref="D16:D17"/>
    <mergeCell ref="C16:C17"/>
    <mergeCell ref="B16:B17"/>
    <mergeCell ref="H16:H17"/>
    <mergeCell ref="B8:O8"/>
    <mergeCell ref="B9:O9"/>
    <mergeCell ref="B11:B13"/>
    <mergeCell ref="C11:C13"/>
    <mergeCell ref="D11:D13"/>
    <mergeCell ref="F11:F13"/>
    <mergeCell ref="G11:G13"/>
    <mergeCell ref="H11:L11"/>
    <mergeCell ref="M11:O11"/>
    <mergeCell ref="H12:H13"/>
    <mergeCell ref="I12:I13"/>
    <mergeCell ref="J12:L12"/>
    <mergeCell ref="M12:M13"/>
    <mergeCell ref="N12:N13"/>
    <mergeCell ref="O12:O13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54" fitToHeight="0" orientation="landscape" r:id="rId1"/>
  <headerFooter differentFirst="1" alignWithMargins="0">
    <oddHeader>&amp;C&amp;P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4F9D85"/>
    <pageSetUpPr fitToPage="1"/>
  </sheetPr>
  <dimension ref="B1:AC704"/>
  <sheetViews>
    <sheetView showWhiteSpace="0" topLeftCell="A498" zoomScale="85" zoomScaleNormal="85" workbookViewId="0">
      <selection activeCell="F503" sqref="F503:F506"/>
    </sheetView>
  </sheetViews>
  <sheetFormatPr defaultColWidth="8.85546875" defaultRowHeight="15.75" x14ac:dyDescent="0.25"/>
  <cols>
    <col min="1" max="1" width="2.140625" style="37" customWidth="1"/>
    <col min="2" max="2" width="7.7109375" style="48" customWidth="1"/>
    <col min="3" max="3" width="11.28515625" style="48" customWidth="1"/>
    <col min="4" max="4" width="10.7109375" style="48" hidden="1" customWidth="1"/>
    <col min="5" max="5" width="13.5703125" style="48" customWidth="1"/>
    <col min="6" max="6" width="35" style="48" customWidth="1"/>
    <col min="7" max="7" width="22" style="48" customWidth="1"/>
    <col min="8" max="8" width="7.42578125" style="48" customWidth="1"/>
    <col min="9" max="9" width="16.85546875" style="48" customWidth="1"/>
    <col min="10" max="10" width="14.85546875" style="48" customWidth="1"/>
    <col min="11" max="11" width="10.85546875" style="48" customWidth="1"/>
    <col min="12" max="12" width="10.28515625" style="48" customWidth="1"/>
    <col min="13" max="13" width="8.7109375" style="48" customWidth="1"/>
    <col min="14" max="14" width="14.5703125" style="48" hidden="1" customWidth="1"/>
    <col min="15" max="15" width="12.85546875" style="707" customWidth="1"/>
    <col min="16" max="16" width="10.42578125" style="707" customWidth="1"/>
    <col min="17" max="17" width="11.140625" style="707" customWidth="1"/>
    <col min="18" max="18" width="19.7109375" style="51" hidden="1" customWidth="1"/>
    <col min="19" max="19" width="18.140625" style="51" hidden="1" customWidth="1"/>
    <col min="20" max="20" width="16.28515625" style="51" hidden="1" customWidth="1"/>
    <col min="21" max="21" width="20.85546875" style="51" hidden="1" customWidth="1"/>
    <col min="22" max="22" width="17.42578125" style="51" customWidth="1"/>
    <col min="23" max="23" width="20.28515625" style="51" customWidth="1"/>
    <col min="24" max="24" width="14.42578125" style="51" customWidth="1"/>
    <col min="25" max="25" width="8.85546875" style="51" customWidth="1"/>
    <col min="26" max="26" width="15.7109375" style="776" customWidth="1"/>
    <col min="27" max="27" width="9" style="776" customWidth="1"/>
    <col min="28" max="28" width="9.42578125" style="776" customWidth="1"/>
    <col min="29" max="29" width="12.28515625" style="51" customWidth="1"/>
    <col min="30" max="16384" width="8.85546875" style="37"/>
  </cols>
  <sheetData>
    <row r="1" spans="2:28" x14ac:dyDescent="0.25">
      <c r="I1" s="787" t="s">
        <v>497</v>
      </c>
      <c r="N1" s="787"/>
    </row>
    <row r="2" spans="2:28" x14ac:dyDescent="0.25">
      <c r="I2" s="787" t="s">
        <v>498</v>
      </c>
      <c r="N2" s="787"/>
    </row>
    <row r="3" spans="2:28" x14ac:dyDescent="0.25">
      <c r="I3" s="787" t="s">
        <v>499</v>
      </c>
      <c r="N3" s="787"/>
    </row>
    <row r="4" spans="2:28" x14ac:dyDescent="0.25">
      <c r="I4" s="787" t="s">
        <v>500</v>
      </c>
      <c r="N4" s="787"/>
    </row>
    <row r="5" spans="2:28" x14ac:dyDescent="0.25">
      <c r="I5" s="787" t="s">
        <v>945</v>
      </c>
      <c r="N5" s="787"/>
    </row>
    <row r="6" spans="2:28" x14ac:dyDescent="0.25">
      <c r="I6" s="787" t="s">
        <v>502</v>
      </c>
      <c r="N6" s="787"/>
    </row>
    <row r="7" spans="2:28" ht="18.75" x14ac:dyDescent="0.25">
      <c r="B7" s="651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788"/>
      <c r="P7" s="788"/>
    </row>
    <row r="8" spans="2:28" ht="42.75" customHeight="1" x14ac:dyDescent="0.25">
      <c r="B8" s="1203" t="s">
        <v>946</v>
      </c>
      <c r="C8" s="1203"/>
      <c r="D8" s="1203"/>
      <c r="E8" s="1203"/>
      <c r="F8" s="1203"/>
      <c r="G8" s="1203"/>
      <c r="H8" s="1203"/>
      <c r="I8" s="1203"/>
      <c r="J8" s="1203"/>
      <c r="K8" s="1203"/>
      <c r="L8" s="1203"/>
      <c r="M8" s="1203"/>
      <c r="N8" s="1203"/>
      <c r="O8" s="1203"/>
      <c r="P8" s="1203"/>
      <c r="Q8" s="1203"/>
    </row>
    <row r="9" spans="2:28" ht="16.5" thickBot="1" x14ac:dyDescent="0.3"/>
    <row r="10" spans="2:28" ht="37.5" customHeight="1" thickBot="1" x14ac:dyDescent="0.3">
      <c r="B10" s="1275" t="s">
        <v>940</v>
      </c>
      <c r="C10" s="1275" t="s">
        <v>4</v>
      </c>
      <c r="D10" s="633" t="s">
        <v>50</v>
      </c>
      <c r="E10" s="1280" t="s">
        <v>941</v>
      </c>
      <c r="F10" s="1277" t="s">
        <v>942</v>
      </c>
      <c r="G10" s="1285" t="s">
        <v>943</v>
      </c>
      <c r="H10" s="1286"/>
      <c r="I10" s="1286"/>
      <c r="J10" s="1286"/>
      <c r="K10" s="1286"/>
      <c r="L10" s="1287"/>
      <c r="M10" s="1215" t="s">
        <v>776</v>
      </c>
      <c r="N10" s="1229"/>
      <c r="O10" s="1229"/>
      <c r="P10" s="1229"/>
      <c r="Q10" s="1280"/>
    </row>
    <row r="11" spans="2:28" ht="16.5" thickBot="1" x14ac:dyDescent="0.3">
      <c r="B11" s="1199"/>
      <c r="C11" s="1199"/>
      <c r="D11" s="634"/>
      <c r="E11" s="1281"/>
      <c r="F11" s="1230"/>
      <c r="G11" s="1207" t="s">
        <v>18</v>
      </c>
      <c r="H11" s="1280" t="s">
        <v>148</v>
      </c>
      <c r="I11" s="1215" t="s">
        <v>150</v>
      </c>
      <c r="J11" s="1229"/>
      <c r="K11" s="1229"/>
      <c r="L11" s="1280"/>
      <c r="M11" s="1207" t="s">
        <v>775</v>
      </c>
      <c r="N11" s="1280">
        <v>2021</v>
      </c>
      <c r="O11" s="1215">
        <v>2023</v>
      </c>
      <c r="P11" s="1207">
        <v>2024</v>
      </c>
      <c r="Q11" s="1207">
        <v>2025</v>
      </c>
    </row>
    <row r="12" spans="2:28" ht="16.5" thickBot="1" x14ac:dyDescent="0.3">
      <c r="B12" s="1199"/>
      <c r="C12" s="1199"/>
      <c r="D12" s="634"/>
      <c r="E12" s="1281"/>
      <c r="F12" s="1230"/>
      <c r="G12" s="1199"/>
      <c r="H12" s="1281"/>
      <c r="I12" s="1285" t="s">
        <v>944</v>
      </c>
      <c r="J12" s="1287"/>
      <c r="K12" s="1207">
        <v>2024</v>
      </c>
      <c r="L12" s="1207">
        <v>2025</v>
      </c>
      <c r="M12" s="1199"/>
      <c r="N12" s="1281"/>
      <c r="O12" s="1192"/>
      <c r="P12" s="1199"/>
      <c r="Q12" s="1199"/>
    </row>
    <row r="13" spans="2:28" ht="16.5" thickBot="1" x14ac:dyDescent="0.3">
      <c r="B13" s="1236"/>
      <c r="C13" s="1276"/>
      <c r="D13" s="542" t="s">
        <v>51</v>
      </c>
      <c r="E13" s="1282"/>
      <c r="F13" s="1278"/>
      <c r="G13" s="1208"/>
      <c r="H13" s="1282"/>
      <c r="I13" s="635" t="s">
        <v>772</v>
      </c>
      <c r="J13" s="636" t="s">
        <v>58</v>
      </c>
      <c r="K13" s="1208"/>
      <c r="L13" s="1208"/>
      <c r="M13" s="1208"/>
      <c r="N13" s="1282"/>
      <c r="O13" s="1216"/>
      <c r="P13" s="1208"/>
      <c r="Q13" s="1208"/>
    </row>
    <row r="14" spans="2:28" ht="16.5" thickBot="1" x14ac:dyDescent="0.3">
      <c r="B14" s="637">
        <v>1</v>
      </c>
      <c r="C14" s="638">
        <v>2</v>
      </c>
      <c r="D14" s="639">
        <v>4</v>
      </c>
      <c r="E14" s="637">
        <v>3</v>
      </c>
      <c r="F14" s="638">
        <v>4</v>
      </c>
      <c r="G14" s="637">
        <v>5</v>
      </c>
      <c r="H14" s="637">
        <v>6</v>
      </c>
      <c r="I14" s="637">
        <v>7</v>
      </c>
      <c r="J14" s="638">
        <v>8</v>
      </c>
      <c r="K14" s="637">
        <v>9</v>
      </c>
      <c r="L14" s="638">
        <v>10</v>
      </c>
      <c r="M14" s="637">
        <v>11</v>
      </c>
      <c r="N14" s="640"/>
      <c r="O14" s="641">
        <v>12</v>
      </c>
      <c r="P14" s="637">
        <v>13</v>
      </c>
      <c r="Q14" s="664">
        <v>14</v>
      </c>
    </row>
    <row r="15" spans="2:28" ht="16.5" thickBot="1" x14ac:dyDescent="0.3">
      <c r="B15" s="1193" t="s">
        <v>864</v>
      </c>
      <c r="C15" s="1194"/>
      <c r="D15" s="1194"/>
      <c r="E15" s="1194"/>
      <c r="F15" s="1194"/>
      <c r="G15" s="1194"/>
      <c r="H15" s="1194"/>
      <c r="I15" s="1194"/>
      <c r="J15" s="1194"/>
      <c r="K15" s="1194"/>
      <c r="L15" s="1195"/>
      <c r="M15" s="542" t="s">
        <v>122</v>
      </c>
      <c r="N15" s="665"/>
      <c r="O15" s="731">
        <f>O16+O17</f>
        <v>845496.23369999987</v>
      </c>
      <c r="P15" s="731">
        <f>P16+P17</f>
        <v>641803.84</v>
      </c>
      <c r="Q15" s="789">
        <f>Q16+Q17</f>
        <v>599755.95699999994</v>
      </c>
      <c r="R15" s="51">
        <v>845496.22867999994</v>
      </c>
      <c r="S15" s="51">
        <v>641803.83568000002</v>
      </c>
      <c r="T15" s="51">
        <v>599755.96</v>
      </c>
      <c r="V15" s="51">
        <v>845496.23</v>
      </c>
      <c r="W15" s="51">
        <v>641803.84</v>
      </c>
      <c r="X15" s="51">
        <v>599755.96</v>
      </c>
      <c r="Z15" s="776">
        <f t="shared" ref="Z15:AB17" si="0">V15-O15</f>
        <v>-3.6999998847022653E-3</v>
      </c>
      <c r="AA15" s="776">
        <f t="shared" si="0"/>
        <v>0</v>
      </c>
      <c r="AB15" s="776">
        <f t="shared" si="0"/>
        <v>3.0000000260770321E-3</v>
      </c>
    </row>
    <row r="16" spans="2:28" ht="16.5" thickBot="1" x14ac:dyDescent="0.3">
      <c r="B16" s="1196"/>
      <c r="C16" s="1197"/>
      <c r="D16" s="1197"/>
      <c r="E16" s="1197"/>
      <c r="F16" s="1197"/>
      <c r="G16" s="1197"/>
      <c r="H16" s="1197"/>
      <c r="I16" s="1197"/>
      <c r="J16" s="1197"/>
      <c r="K16" s="1197"/>
      <c r="L16" s="1198"/>
      <c r="M16" s="636" t="s">
        <v>123</v>
      </c>
      <c r="N16" s="665"/>
      <c r="O16" s="731">
        <f t="shared" ref="O16:Q18" si="1">O20+O160+O364+O552+O661</f>
        <v>4382.7659999999996</v>
      </c>
      <c r="P16" s="731">
        <f t="shared" si="1"/>
        <v>4382.7659999999996</v>
      </c>
      <c r="Q16" s="667">
        <f t="shared" si="1"/>
        <v>5478.4579999999996</v>
      </c>
      <c r="R16" s="779">
        <f>R15-O15</f>
        <v>-5.0199999241158366E-3</v>
      </c>
      <c r="S16" s="779">
        <f>S15-P15</f>
        <v>-4.3199999490752816E-3</v>
      </c>
      <c r="T16" s="779">
        <f>T15-Q15</f>
        <v>3.0000000260770321E-3</v>
      </c>
      <c r="V16" s="51">
        <v>4382.7700000000004</v>
      </c>
      <c r="W16" s="51">
        <v>4382.7700000000004</v>
      </c>
      <c r="X16" s="51">
        <v>5478.46</v>
      </c>
      <c r="Z16" s="776">
        <f t="shared" si="0"/>
        <v>4.0000000008149073E-3</v>
      </c>
      <c r="AA16" s="776">
        <f t="shared" si="0"/>
        <v>4.0000000008149073E-3</v>
      </c>
      <c r="AB16" s="686">
        <f t="shared" si="0"/>
        <v>2.0000000004074536E-3</v>
      </c>
    </row>
    <row r="17" spans="2:28" ht="16.5" thickBot="1" x14ac:dyDescent="0.3">
      <c r="B17" s="1196"/>
      <c r="C17" s="1197"/>
      <c r="D17" s="1197"/>
      <c r="E17" s="1197"/>
      <c r="F17" s="1197"/>
      <c r="G17" s="1197"/>
      <c r="H17" s="1197"/>
      <c r="I17" s="1197"/>
      <c r="J17" s="1197"/>
      <c r="K17" s="1197"/>
      <c r="L17" s="1198"/>
      <c r="M17" s="672" t="s">
        <v>124</v>
      </c>
      <c r="N17" s="665"/>
      <c r="O17" s="731">
        <f t="shared" si="1"/>
        <v>841113.46769999992</v>
      </c>
      <c r="P17" s="731">
        <f t="shared" si="1"/>
        <v>637421.07400000002</v>
      </c>
      <c r="Q17" s="667">
        <f t="shared" si="1"/>
        <v>594277.49899999995</v>
      </c>
      <c r="R17" s="51">
        <v>841113.46</v>
      </c>
      <c r="V17" s="51">
        <v>841113.46699999995</v>
      </c>
      <c r="W17" s="51">
        <v>637421.06999999995</v>
      </c>
      <c r="X17" s="51">
        <v>594277.5</v>
      </c>
      <c r="Z17" s="776">
        <f t="shared" si="0"/>
        <v>-6.99999975040555E-4</v>
      </c>
      <c r="AA17" s="776">
        <f t="shared" si="0"/>
        <v>-4.0000000735744834E-3</v>
      </c>
      <c r="AB17" s="686">
        <f t="shared" si="0"/>
        <v>1.0000000474974513E-3</v>
      </c>
    </row>
    <row r="18" spans="2:28" ht="16.5" thickBot="1" x14ac:dyDescent="0.3">
      <c r="B18" s="1196"/>
      <c r="C18" s="1197"/>
      <c r="D18" s="1197"/>
      <c r="E18" s="1197"/>
      <c r="F18" s="1197"/>
      <c r="G18" s="1197"/>
      <c r="H18" s="1197"/>
      <c r="I18" s="1197"/>
      <c r="J18" s="1197"/>
      <c r="K18" s="1197"/>
      <c r="L18" s="1198"/>
      <c r="M18" s="547" t="s">
        <v>745</v>
      </c>
      <c r="N18" s="665"/>
      <c r="O18" s="731">
        <f t="shared" si="1"/>
        <v>0</v>
      </c>
      <c r="P18" s="731">
        <f t="shared" si="1"/>
        <v>0</v>
      </c>
      <c r="Q18" s="790">
        <f t="shared" si="1"/>
        <v>0</v>
      </c>
      <c r="R18" s="51">
        <f>R17-O17</f>
        <v>-7.6999999582767487E-3</v>
      </c>
    </row>
    <row r="19" spans="2:28" ht="24.75" thickBot="1" x14ac:dyDescent="0.3">
      <c r="B19" s="1206" t="s">
        <v>63</v>
      </c>
      <c r="C19" s="1207" t="s">
        <v>116</v>
      </c>
      <c r="D19" s="541"/>
      <c r="E19" s="1273" t="s">
        <v>116</v>
      </c>
      <c r="F19" s="1207" t="s">
        <v>583</v>
      </c>
      <c r="G19" s="678" t="s">
        <v>230</v>
      </c>
      <c r="H19" s="683" t="s">
        <v>240</v>
      </c>
      <c r="I19" s="671" t="s">
        <v>782</v>
      </c>
      <c r="J19" s="1206" t="s">
        <v>528</v>
      </c>
      <c r="K19" s="542">
        <v>202</v>
      </c>
      <c r="L19" s="542">
        <v>202</v>
      </c>
      <c r="M19" s="542" t="s">
        <v>122</v>
      </c>
      <c r="N19" s="543"/>
      <c r="O19" s="544">
        <f>O20+O21</f>
        <v>72701.570000000007</v>
      </c>
      <c r="P19" s="544">
        <f>P20+P21</f>
        <v>67537.909999999989</v>
      </c>
      <c r="Q19" s="552">
        <f>Q20+Q21</f>
        <v>58047.356999999989</v>
      </c>
      <c r="R19" s="51">
        <v>72701.573969999998</v>
      </c>
      <c r="S19" s="51">
        <v>67537.909570000003</v>
      </c>
      <c r="T19" s="51">
        <v>58047.35557</v>
      </c>
      <c r="V19" s="51">
        <v>72701.570000000007</v>
      </c>
      <c r="W19" s="51">
        <v>67537.91</v>
      </c>
      <c r="X19" s="51">
        <v>58047.360000000001</v>
      </c>
      <c r="Z19" s="776">
        <f>V19-O19</f>
        <v>0</v>
      </c>
      <c r="AA19" s="776">
        <f>W19-P19</f>
        <v>0</v>
      </c>
      <c r="AB19" s="776">
        <f>X19-Q19</f>
        <v>3.0000000115251169E-3</v>
      </c>
    </row>
    <row r="20" spans="2:28" ht="28.5" customHeight="1" thickBot="1" x14ac:dyDescent="0.3">
      <c r="B20" s="1204"/>
      <c r="C20" s="1199"/>
      <c r="D20" s="1272"/>
      <c r="E20" s="1274"/>
      <c r="F20" s="1199"/>
      <c r="G20" s="545" t="s">
        <v>231</v>
      </c>
      <c r="H20" s="546" t="s">
        <v>241</v>
      </c>
      <c r="I20" s="547" t="s">
        <v>780</v>
      </c>
      <c r="J20" s="1204"/>
      <c r="K20" s="547" t="s">
        <v>781</v>
      </c>
      <c r="L20" s="548" t="s">
        <v>1044</v>
      </c>
      <c r="M20" s="636" t="s">
        <v>123</v>
      </c>
      <c r="N20" s="549"/>
      <c r="O20" s="544">
        <f>O28+O64+M2+O124</f>
        <v>0</v>
      </c>
      <c r="P20" s="544">
        <f t="shared" ref="O20:Q22" si="2">P28+P64+P112+P124</f>
        <v>0</v>
      </c>
      <c r="Q20" s="675">
        <f t="shared" si="2"/>
        <v>0</v>
      </c>
      <c r="R20" s="51">
        <f>R19-O19</f>
        <v>3.9699999906588346E-3</v>
      </c>
      <c r="S20" s="51">
        <f>S19-P19</f>
        <v>-4.2999998549930751E-4</v>
      </c>
      <c r="T20" s="51">
        <f>T19-Q19</f>
        <v>-1.4299999893410131E-3</v>
      </c>
    </row>
    <row r="21" spans="2:28" ht="28.5" customHeight="1" thickBot="1" x14ac:dyDescent="0.3">
      <c r="B21" s="1204"/>
      <c r="C21" s="1199"/>
      <c r="D21" s="1272"/>
      <c r="E21" s="1274"/>
      <c r="F21" s="1199"/>
      <c r="G21" s="677" t="s">
        <v>187</v>
      </c>
      <c r="H21" s="684" t="s">
        <v>241</v>
      </c>
      <c r="I21" s="669" t="s">
        <v>574</v>
      </c>
      <c r="J21" s="1204"/>
      <c r="K21" s="669" t="s">
        <v>574</v>
      </c>
      <c r="L21" s="669" t="s">
        <v>574</v>
      </c>
      <c r="M21" s="672" t="s">
        <v>124</v>
      </c>
      <c r="N21" s="550"/>
      <c r="O21" s="551">
        <f>O25+O113+O125</f>
        <v>72701.570000000007</v>
      </c>
      <c r="P21" s="551">
        <f>P25+P113+P125</f>
        <v>67537.909999999989</v>
      </c>
      <c r="Q21" s="552">
        <f>Q25+Q113+Q125</f>
        <v>58047.356999999989</v>
      </c>
    </row>
    <row r="22" spans="2:28" ht="16.5" thickBot="1" x14ac:dyDescent="0.3">
      <c r="B22" s="1204"/>
      <c r="C22" s="1199"/>
      <c r="D22" s="1272"/>
      <c r="E22" s="1274"/>
      <c r="F22" s="1199"/>
      <c r="G22" s="545"/>
      <c r="H22" s="546"/>
      <c r="I22" s="792"/>
      <c r="J22" s="1204"/>
      <c r="K22" s="792"/>
      <c r="L22" s="792"/>
      <c r="M22" s="547" t="s">
        <v>745</v>
      </c>
      <c r="N22" s="549"/>
      <c r="O22" s="551">
        <f t="shared" si="2"/>
        <v>0</v>
      </c>
      <c r="P22" s="551">
        <f t="shared" si="2"/>
        <v>0</v>
      </c>
      <c r="Q22" s="552">
        <f t="shared" si="2"/>
        <v>0</v>
      </c>
    </row>
    <row r="23" spans="2:28" ht="16.5" thickBot="1" x14ac:dyDescent="0.3">
      <c r="B23" s="1206" t="s">
        <v>63</v>
      </c>
      <c r="C23" s="1215">
        <v>69111</v>
      </c>
      <c r="D23" s="654" t="s">
        <v>116</v>
      </c>
      <c r="E23" s="1232" t="s">
        <v>116</v>
      </c>
      <c r="F23" s="1207" t="s">
        <v>1048</v>
      </c>
      <c r="G23" s="1207" t="s">
        <v>116</v>
      </c>
      <c r="H23" s="1232" t="s">
        <v>116</v>
      </c>
      <c r="I23" s="1206" t="s">
        <v>116</v>
      </c>
      <c r="J23" s="1206" t="s">
        <v>528</v>
      </c>
      <c r="K23" s="1269" t="s">
        <v>116</v>
      </c>
      <c r="L23" s="1206" t="s">
        <v>116</v>
      </c>
      <c r="M23" s="636" t="s">
        <v>122</v>
      </c>
      <c r="N23" s="549" t="e">
        <f>N27+N31+N35+N39+N43+N47+N51+N55+#REF!</f>
        <v>#REF!</v>
      </c>
      <c r="O23" s="551">
        <f>O24+O25</f>
        <v>40958.119999999995</v>
      </c>
      <c r="P23" s="551">
        <f>P24+P25</f>
        <v>42226.149999999994</v>
      </c>
      <c r="Q23" s="552">
        <f>Q24+Q25</f>
        <v>43412.923999999992</v>
      </c>
    </row>
    <row r="24" spans="2:28" ht="16.5" thickBot="1" x14ac:dyDescent="0.3">
      <c r="B24" s="1204"/>
      <c r="C24" s="1192"/>
      <c r="D24" s="555"/>
      <c r="E24" s="1209"/>
      <c r="F24" s="1199"/>
      <c r="G24" s="1199"/>
      <c r="H24" s="1209"/>
      <c r="I24" s="1204"/>
      <c r="J24" s="1204"/>
      <c r="K24" s="1270"/>
      <c r="L24" s="1204"/>
      <c r="M24" s="636" t="s">
        <v>123</v>
      </c>
      <c r="N24" s="549"/>
      <c r="O24" s="551">
        <v>0</v>
      </c>
      <c r="P24" s="552">
        <v>0</v>
      </c>
      <c r="Q24" s="552">
        <v>0</v>
      </c>
    </row>
    <row r="25" spans="2:28" ht="16.5" thickBot="1" x14ac:dyDescent="0.3">
      <c r="B25" s="1204"/>
      <c r="C25" s="1192"/>
      <c r="D25" s="555"/>
      <c r="E25" s="1209"/>
      <c r="F25" s="1199"/>
      <c r="G25" s="1199"/>
      <c r="H25" s="1209"/>
      <c r="I25" s="1204"/>
      <c r="J25" s="1204"/>
      <c r="K25" s="1270"/>
      <c r="L25" s="1204"/>
      <c r="M25" s="672" t="s">
        <v>124</v>
      </c>
      <c r="N25" s="556"/>
      <c r="O25" s="557">
        <f>O29+O65</f>
        <v>40958.119999999995</v>
      </c>
      <c r="P25" s="557">
        <f>P29+P65</f>
        <v>42226.149999999994</v>
      </c>
      <c r="Q25" s="552">
        <f>Q29+Q65</f>
        <v>43412.923999999992</v>
      </c>
    </row>
    <row r="26" spans="2:28" ht="16.5" thickBot="1" x14ac:dyDescent="0.3">
      <c r="B26" s="1205"/>
      <c r="C26" s="1216"/>
      <c r="D26" s="558"/>
      <c r="E26" s="1210"/>
      <c r="F26" s="1208"/>
      <c r="G26" s="1208"/>
      <c r="H26" s="1210"/>
      <c r="I26" s="1205"/>
      <c r="J26" s="1205"/>
      <c r="K26" s="1271"/>
      <c r="L26" s="1205"/>
      <c r="M26" s="547" t="s">
        <v>745</v>
      </c>
      <c r="N26" s="559"/>
      <c r="O26" s="557">
        <v>0</v>
      </c>
      <c r="P26" s="676">
        <v>0</v>
      </c>
      <c r="Q26" s="676">
        <v>0</v>
      </c>
    </row>
    <row r="27" spans="2:28" ht="16.5" thickBot="1" x14ac:dyDescent="0.3">
      <c r="B27" s="1206" t="s">
        <v>63</v>
      </c>
      <c r="C27" s="1215">
        <v>69111</v>
      </c>
      <c r="D27" s="654" t="s">
        <v>116</v>
      </c>
      <c r="E27" s="1232" t="s">
        <v>116</v>
      </c>
      <c r="F27" s="1207" t="s">
        <v>585</v>
      </c>
      <c r="G27" s="1200" t="s">
        <v>230</v>
      </c>
      <c r="H27" s="1232" t="s">
        <v>240</v>
      </c>
      <c r="I27" s="1206" t="s">
        <v>782</v>
      </c>
      <c r="J27" s="1206" t="s">
        <v>528</v>
      </c>
      <c r="K27" s="1269" t="s">
        <v>783</v>
      </c>
      <c r="L27" s="1206" t="s">
        <v>783</v>
      </c>
      <c r="M27" s="636" t="s">
        <v>122</v>
      </c>
      <c r="N27" s="549" t="e">
        <f>N31+N35+N39+N43+N47+N51+N55+N59+#REF!</f>
        <v>#REF!</v>
      </c>
      <c r="O27" s="551">
        <f>O28+O29</f>
        <v>4021.1299999999997</v>
      </c>
      <c r="P27" s="551">
        <f>P28+P29</f>
        <v>4021.1299999999997</v>
      </c>
      <c r="Q27" s="552">
        <f>Q28+Q29</f>
        <v>4021.1299999999997</v>
      </c>
      <c r="R27" s="51">
        <v>4021.1260000000002</v>
      </c>
      <c r="S27" s="51">
        <v>4021.1260000000002</v>
      </c>
      <c r="T27" s="51">
        <v>4021.1260000000002</v>
      </c>
    </row>
    <row r="28" spans="2:28" ht="16.5" thickBot="1" x14ac:dyDescent="0.3">
      <c r="B28" s="1204"/>
      <c r="C28" s="1192"/>
      <c r="D28" s="555"/>
      <c r="E28" s="1209"/>
      <c r="F28" s="1199"/>
      <c r="G28" s="1201"/>
      <c r="H28" s="1209"/>
      <c r="I28" s="1204"/>
      <c r="J28" s="1204"/>
      <c r="K28" s="1270"/>
      <c r="L28" s="1204"/>
      <c r="M28" s="636" t="s">
        <v>123</v>
      </c>
      <c r="N28" s="549"/>
      <c r="O28" s="551">
        <v>0</v>
      </c>
      <c r="P28" s="552">
        <v>0</v>
      </c>
      <c r="Q28" s="552">
        <v>0</v>
      </c>
      <c r="R28" s="51">
        <f>R27-O27</f>
        <v>-3.9999999994506652E-3</v>
      </c>
      <c r="S28" s="51">
        <f>S27-P27</f>
        <v>-3.9999999994506652E-3</v>
      </c>
      <c r="T28" s="51">
        <f>T27-Q27</f>
        <v>-3.9999999994506652E-3</v>
      </c>
    </row>
    <row r="29" spans="2:28" ht="16.5" thickBot="1" x14ac:dyDescent="0.3">
      <c r="B29" s="1204"/>
      <c r="C29" s="1192"/>
      <c r="D29" s="555"/>
      <c r="E29" s="1209"/>
      <c r="F29" s="1199"/>
      <c r="G29" s="1201"/>
      <c r="H29" s="1209"/>
      <c r="I29" s="1204"/>
      <c r="J29" s="1204"/>
      <c r="K29" s="1270"/>
      <c r="L29" s="1204"/>
      <c r="M29" s="672" t="s">
        <v>124</v>
      </c>
      <c r="N29" s="556"/>
      <c r="O29" s="557">
        <f>O33+O37+O41+O45+O49+O53+O57+O61</f>
        <v>4021.1299999999997</v>
      </c>
      <c r="P29" s="557">
        <f>P33+P37+P41+P45+P49+P53+P57+P61</f>
        <v>4021.1299999999997</v>
      </c>
      <c r="Q29" s="676">
        <f>Q33+Q37+Q41+Q45+Q49+Q53+Q57+Q61</f>
        <v>4021.1299999999997</v>
      </c>
    </row>
    <row r="30" spans="2:28" ht="16.5" thickBot="1" x14ac:dyDescent="0.3">
      <c r="B30" s="1205"/>
      <c r="C30" s="1216"/>
      <c r="D30" s="558"/>
      <c r="E30" s="1210"/>
      <c r="F30" s="1208"/>
      <c r="G30" s="1202"/>
      <c r="H30" s="1210"/>
      <c r="I30" s="1205"/>
      <c r="J30" s="1205"/>
      <c r="K30" s="1271"/>
      <c r="L30" s="1205"/>
      <c r="M30" s="547" t="s">
        <v>745</v>
      </c>
      <c r="N30" s="559"/>
      <c r="O30" s="557">
        <v>0</v>
      </c>
      <c r="P30" s="676">
        <v>0</v>
      </c>
      <c r="Q30" s="676">
        <v>0</v>
      </c>
      <c r="W30" s="37"/>
    </row>
    <row r="31" spans="2:28" ht="20.25" customHeight="1" thickBot="1" x14ac:dyDescent="0.3">
      <c r="B31" s="1206" t="s">
        <v>63</v>
      </c>
      <c r="C31" s="1215">
        <v>69111</v>
      </c>
      <c r="D31" s="682">
        <v>27300364</v>
      </c>
      <c r="E31" s="1207" t="s">
        <v>614</v>
      </c>
      <c r="F31" s="1200" t="s">
        <v>389</v>
      </c>
      <c r="G31" s="1200" t="s">
        <v>391</v>
      </c>
      <c r="H31" s="1232" t="s">
        <v>393</v>
      </c>
      <c r="I31" s="1206" t="s">
        <v>948</v>
      </c>
      <c r="J31" s="1206" t="s">
        <v>528</v>
      </c>
      <c r="K31" s="1269" t="s">
        <v>948</v>
      </c>
      <c r="L31" s="1206" t="s">
        <v>948</v>
      </c>
      <c r="M31" s="542" t="s">
        <v>122</v>
      </c>
      <c r="N31" s="543" t="s">
        <v>631</v>
      </c>
      <c r="O31" s="544">
        <f>O32+O33</f>
        <v>569.4</v>
      </c>
      <c r="P31" s="544">
        <f>P32+P33</f>
        <v>569.4</v>
      </c>
      <c r="Q31" s="675">
        <f>Q32+Q33</f>
        <v>569.4</v>
      </c>
    </row>
    <row r="32" spans="2:28" ht="20.25" customHeight="1" thickBot="1" x14ac:dyDescent="0.3">
      <c r="B32" s="1204"/>
      <c r="C32" s="1192"/>
      <c r="D32" s="682"/>
      <c r="E32" s="1199"/>
      <c r="F32" s="1201"/>
      <c r="G32" s="1201"/>
      <c r="H32" s="1209"/>
      <c r="I32" s="1204"/>
      <c r="J32" s="1204"/>
      <c r="K32" s="1270"/>
      <c r="L32" s="1204"/>
      <c r="M32" s="636" t="s">
        <v>123</v>
      </c>
      <c r="N32" s="549"/>
      <c r="O32" s="551">
        <v>0</v>
      </c>
      <c r="P32" s="552">
        <v>0</v>
      </c>
      <c r="Q32" s="552">
        <v>0</v>
      </c>
    </row>
    <row r="33" spans="2:17" ht="20.25" customHeight="1" thickBot="1" x14ac:dyDescent="0.3">
      <c r="B33" s="1204"/>
      <c r="C33" s="1192"/>
      <c r="D33" s="682"/>
      <c r="E33" s="1199"/>
      <c r="F33" s="1201"/>
      <c r="G33" s="1201"/>
      <c r="H33" s="1209"/>
      <c r="I33" s="1204"/>
      <c r="J33" s="1204"/>
      <c r="K33" s="1270"/>
      <c r="L33" s="1204"/>
      <c r="M33" s="672" t="s">
        <v>124</v>
      </c>
      <c r="N33" s="556"/>
      <c r="O33" s="557">
        <v>569.4</v>
      </c>
      <c r="P33" s="676">
        <v>569.4</v>
      </c>
      <c r="Q33" s="676">
        <v>569.4</v>
      </c>
    </row>
    <row r="34" spans="2:17" ht="20.25" customHeight="1" thickBot="1" x14ac:dyDescent="0.3">
      <c r="B34" s="1204"/>
      <c r="C34" s="1192"/>
      <c r="D34" s="673"/>
      <c r="E34" s="1199"/>
      <c r="F34" s="1201"/>
      <c r="G34" s="1201"/>
      <c r="H34" s="1209"/>
      <c r="I34" s="1204"/>
      <c r="J34" s="1204"/>
      <c r="K34" s="1270"/>
      <c r="L34" s="1204"/>
      <c r="M34" s="671" t="s">
        <v>745</v>
      </c>
      <c r="N34" s="560"/>
      <c r="O34" s="561">
        <v>0</v>
      </c>
      <c r="P34" s="562">
        <v>0</v>
      </c>
      <c r="Q34" s="676">
        <v>0</v>
      </c>
    </row>
    <row r="35" spans="2:17" ht="16.5" thickBot="1" x14ac:dyDescent="0.3">
      <c r="B35" s="1206" t="s">
        <v>63</v>
      </c>
      <c r="C35" s="1215">
        <v>69111</v>
      </c>
      <c r="D35" s="654">
        <v>27300364</v>
      </c>
      <c r="E35" s="1207" t="s">
        <v>192</v>
      </c>
      <c r="F35" s="1200" t="s">
        <v>390</v>
      </c>
      <c r="G35" s="1200" t="s">
        <v>392</v>
      </c>
      <c r="H35" s="1232" t="s">
        <v>393</v>
      </c>
      <c r="I35" s="1206" t="s">
        <v>949</v>
      </c>
      <c r="J35" s="1206" t="s">
        <v>528</v>
      </c>
      <c r="K35" s="1269" t="s">
        <v>949</v>
      </c>
      <c r="L35" s="1206" t="s">
        <v>949</v>
      </c>
      <c r="M35" s="542" t="s">
        <v>122</v>
      </c>
      <c r="N35" s="543" t="s">
        <v>630</v>
      </c>
      <c r="O35" s="544">
        <f>O36+O37</f>
        <v>981.6</v>
      </c>
      <c r="P35" s="544">
        <f>P36+P37</f>
        <v>981.6</v>
      </c>
      <c r="Q35" s="552">
        <f>Q36+Q37</f>
        <v>981.6</v>
      </c>
    </row>
    <row r="36" spans="2:17" ht="16.5" thickBot="1" x14ac:dyDescent="0.3">
      <c r="B36" s="1204"/>
      <c r="C36" s="1192"/>
      <c r="D36" s="555"/>
      <c r="E36" s="1199"/>
      <c r="F36" s="1201"/>
      <c r="G36" s="1201"/>
      <c r="H36" s="1209"/>
      <c r="I36" s="1204"/>
      <c r="J36" s="1204"/>
      <c r="K36" s="1270"/>
      <c r="L36" s="1204"/>
      <c r="M36" s="636" t="s">
        <v>123</v>
      </c>
      <c r="N36" s="549"/>
      <c r="O36" s="551">
        <v>0</v>
      </c>
      <c r="P36" s="552">
        <v>0</v>
      </c>
      <c r="Q36" s="552">
        <v>0</v>
      </c>
    </row>
    <row r="37" spans="2:17" ht="16.5" thickBot="1" x14ac:dyDescent="0.3">
      <c r="B37" s="1204"/>
      <c r="C37" s="1192"/>
      <c r="D37" s="555"/>
      <c r="E37" s="1199"/>
      <c r="F37" s="1201"/>
      <c r="G37" s="1201"/>
      <c r="H37" s="1209"/>
      <c r="I37" s="1204"/>
      <c r="J37" s="1204"/>
      <c r="K37" s="1270"/>
      <c r="L37" s="1204"/>
      <c r="M37" s="672" t="s">
        <v>124</v>
      </c>
      <c r="N37" s="556"/>
      <c r="O37" s="557">
        <v>981.6</v>
      </c>
      <c r="P37" s="676">
        <v>981.6</v>
      </c>
      <c r="Q37" s="676">
        <v>981.6</v>
      </c>
    </row>
    <row r="38" spans="2:17" ht="16.5" thickBot="1" x14ac:dyDescent="0.3">
      <c r="B38" s="1205"/>
      <c r="C38" s="1192"/>
      <c r="D38" s="558"/>
      <c r="E38" s="1208"/>
      <c r="F38" s="1202"/>
      <c r="G38" s="1202"/>
      <c r="H38" s="1210"/>
      <c r="I38" s="1205"/>
      <c r="J38" s="1205"/>
      <c r="K38" s="1271"/>
      <c r="L38" s="1205"/>
      <c r="M38" s="547" t="s">
        <v>745</v>
      </c>
      <c r="N38" s="559"/>
      <c r="O38" s="557">
        <v>0</v>
      </c>
      <c r="P38" s="676">
        <v>0</v>
      </c>
      <c r="Q38" s="676">
        <v>0</v>
      </c>
    </row>
    <row r="39" spans="2:17" ht="16.5" thickBot="1" x14ac:dyDescent="0.3">
      <c r="B39" s="1206" t="s">
        <v>63</v>
      </c>
      <c r="C39" s="1215">
        <v>69111</v>
      </c>
      <c r="D39" s="654">
        <v>27300364</v>
      </c>
      <c r="E39" s="1207" t="s">
        <v>192</v>
      </c>
      <c r="F39" s="1200" t="s">
        <v>402</v>
      </c>
      <c r="G39" s="1200" t="s">
        <v>882</v>
      </c>
      <c r="H39" s="1232" t="s">
        <v>403</v>
      </c>
      <c r="I39" s="1206" t="s">
        <v>725</v>
      </c>
      <c r="J39" s="1206" t="s">
        <v>528</v>
      </c>
      <c r="K39" s="1206" t="s">
        <v>725</v>
      </c>
      <c r="L39" s="1206" t="s">
        <v>725</v>
      </c>
      <c r="M39" s="542" t="s">
        <v>122</v>
      </c>
      <c r="N39" s="543">
        <f>1051.85+71.964+0.04</f>
        <v>1123.8539999999998</v>
      </c>
      <c r="O39" s="544">
        <v>1408</v>
      </c>
      <c r="P39" s="675">
        <v>1408</v>
      </c>
      <c r="Q39" s="675">
        <v>1408</v>
      </c>
    </row>
    <row r="40" spans="2:17" ht="16.5" thickBot="1" x14ac:dyDescent="0.3">
      <c r="B40" s="1204"/>
      <c r="C40" s="1192"/>
      <c r="D40" s="555"/>
      <c r="E40" s="1199"/>
      <c r="F40" s="1201"/>
      <c r="G40" s="1201"/>
      <c r="H40" s="1209"/>
      <c r="I40" s="1204"/>
      <c r="J40" s="1204"/>
      <c r="K40" s="1204"/>
      <c r="L40" s="1204"/>
      <c r="M40" s="636" t="s">
        <v>123</v>
      </c>
      <c r="N40" s="549"/>
      <c r="O40" s="551">
        <v>0</v>
      </c>
      <c r="P40" s="552">
        <v>0</v>
      </c>
      <c r="Q40" s="552">
        <v>0</v>
      </c>
    </row>
    <row r="41" spans="2:17" ht="16.5" thickBot="1" x14ac:dyDescent="0.3">
      <c r="B41" s="1204"/>
      <c r="C41" s="1192"/>
      <c r="D41" s="555"/>
      <c r="E41" s="1199"/>
      <c r="F41" s="1201"/>
      <c r="G41" s="1201"/>
      <c r="H41" s="1209"/>
      <c r="I41" s="1204"/>
      <c r="J41" s="1204"/>
      <c r="K41" s="1204"/>
      <c r="L41" s="1204"/>
      <c r="M41" s="672" t="s">
        <v>124</v>
      </c>
      <c r="N41" s="556"/>
      <c r="O41" s="557">
        <v>1408</v>
      </c>
      <c r="P41" s="676">
        <v>1408</v>
      </c>
      <c r="Q41" s="676">
        <v>1408</v>
      </c>
    </row>
    <row r="42" spans="2:17" ht="16.5" thickBot="1" x14ac:dyDescent="0.3">
      <c r="B42" s="1205"/>
      <c r="C42" s="1192"/>
      <c r="D42" s="558"/>
      <c r="E42" s="1208"/>
      <c r="F42" s="1202"/>
      <c r="G42" s="1202"/>
      <c r="H42" s="1210"/>
      <c r="I42" s="1205"/>
      <c r="J42" s="1205"/>
      <c r="K42" s="1205"/>
      <c r="L42" s="1205"/>
      <c r="M42" s="671" t="s">
        <v>745</v>
      </c>
      <c r="N42" s="560"/>
      <c r="O42" s="561">
        <v>0</v>
      </c>
      <c r="P42" s="562">
        <v>0</v>
      </c>
      <c r="Q42" s="562">
        <v>0</v>
      </c>
    </row>
    <row r="43" spans="2:17" ht="16.5" thickBot="1" x14ac:dyDescent="0.3">
      <c r="B43" s="1206" t="s">
        <v>63</v>
      </c>
      <c r="C43" s="1215">
        <v>69111</v>
      </c>
      <c r="D43" s="654">
        <v>27300364</v>
      </c>
      <c r="E43" s="1207" t="s">
        <v>192</v>
      </c>
      <c r="F43" s="1200" t="s">
        <v>399</v>
      </c>
      <c r="G43" s="1200" t="s">
        <v>617</v>
      </c>
      <c r="H43" s="1232" t="s">
        <v>400</v>
      </c>
      <c r="I43" s="1206" t="s">
        <v>727</v>
      </c>
      <c r="J43" s="1206" t="s">
        <v>528</v>
      </c>
      <c r="K43" s="1206" t="s">
        <v>727</v>
      </c>
      <c r="L43" s="1206" t="s">
        <v>727</v>
      </c>
      <c r="M43" s="542" t="s">
        <v>122</v>
      </c>
      <c r="N43" s="543">
        <f>314.1+14.4</f>
        <v>328.5</v>
      </c>
      <c r="O43" s="544">
        <v>517.20000000000005</v>
      </c>
      <c r="P43" s="675">
        <v>517.20000000000005</v>
      </c>
      <c r="Q43" s="675">
        <v>517.20000000000005</v>
      </c>
    </row>
    <row r="44" spans="2:17" ht="16.5" thickBot="1" x14ac:dyDescent="0.3">
      <c r="B44" s="1204"/>
      <c r="C44" s="1192"/>
      <c r="D44" s="682"/>
      <c r="E44" s="1199"/>
      <c r="F44" s="1201"/>
      <c r="G44" s="1201"/>
      <c r="H44" s="1209"/>
      <c r="I44" s="1204"/>
      <c r="J44" s="1204"/>
      <c r="K44" s="1204"/>
      <c r="L44" s="1204"/>
      <c r="M44" s="636" t="s">
        <v>123</v>
      </c>
      <c r="N44" s="549"/>
      <c r="O44" s="551">
        <v>0</v>
      </c>
      <c r="P44" s="552">
        <v>0</v>
      </c>
      <c r="Q44" s="552">
        <v>0</v>
      </c>
    </row>
    <row r="45" spans="2:17" ht="16.5" thickBot="1" x14ac:dyDescent="0.3">
      <c r="B45" s="1204"/>
      <c r="C45" s="1192"/>
      <c r="D45" s="682"/>
      <c r="E45" s="1199"/>
      <c r="F45" s="1201"/>
      <c r="G45" s="1201"/>
      <c r="H45" s="1209"/>
      <c r="I45" s="1204"/>
      <c r="J45" s="1204"/>
      <c r="K45" s="1204"/>
      <c r="L45" s="1204"/>
      <c r="M45" s="672" t="s">
        <v>124</v>
      </c>
      <c r="N45" s="556"/>
      <c r="O45" s="557">
        <v>517.20000000000005</v>
      </c>
      <c r="P45" s="676">
        <v>517.20000000000005</v>
      </c>
      <c r="Q45" s="676">
        <v>517.20000000000005</v>
      </c>
    </row>
    <row r="46" spans="2:17" ht="16.5" thickBot="1" x14ac:dyDescent="0.3">
      <c r="B46" s="1205"/>
      <c r="C46" s="1192"/>
      <c r="D46" s="674"/>
      <c r="E46" s="1208"/>
      <c r="F46" s="1202"/>
      <c r="G46" s="1202"/>
      <c r="H46" s="1210"/>
      <c r="I46" s="1205"/>
      <c r="J46" s="1205"/>
      <c r="K46" s="1205"/>
      <c r="L46" s="1205"/>
      <c r="M46" s="547" t="s">
        <v>745</v>
      </c>
      <c r="N46" s="559"/>
      <c r="O46" s="557">
        <v>0</v>
      </c>
      <c r="P46" s="676">
        <v>0</v>
      </c>
      <c r="Q46" s="676">
        <v>0</v>
      </c>
    </row>
    <row r="47" spans="2:17" ht="16.5" thickBot="1" x14ac:dyDescent="0.3">
      <c r="B47" s="1206" t="s">
        <v>63</v>
      </c>
      <c r="C47" s="1215">
        <v>69111</v>
      </c>
      <c r="D47" s="654">
        <v>27300364</v>
      </c>
      <c r="E47" s="1207" t="s">
        <v>192</v>
      </c>
      <c r="F47" s="1200" t="s">
        <v>396</v>
      </c>
      <c r="G47" s="1200" t="s">
        <v>397</v>
      </c>
      <c r="H47" s="1232" t="s">
        <v>393</v>
      </c>
      <c r="I47" s="1206" t="s">
        <v>950</v>
      </c>
      <c r="J47" s="1206" t="s">
        <v>528</v>
      </c>
      <c r="K47" s="1206" t="s">
        <v>950</v>
      </c>
      <c r="L47" s="1206" t="s">
        <v>950</v>
      </c>
      <c r="M47" s="542" t="s">
        <v>122</v>
      </c>
      <c r="N47" s="543" t="s">
        <v>268</v>
      </c>
      <c r="O47" s="544">
        <f>O48+O49</f>
        <v>80</v>
      </c>
      <c r="P47" s="544">
        <f>P48+P49</f>
        <v>80</v>
      </c>
      <c r="Q47" s="552">
        <f>Q48+Q49</f>
        <v>80</v>
      </c>
    </row>
    <row r="48" spans="2:17" ht="16.5" thickBot="1" x14ac:dyDescent="0.3">
      <c r="B48" s="1204"/>
      <c r="C48" s="1192"/>
      <c r="D48" s="555"/>
      <c r="E48" s="1199"/>
      <c r="F48" s="1201"/>
      <c r="G48" s="1201"/>
      <c r="H48" s="1209"/>
      <c r="I48" s="1204"/>
      <c r="J48" s="1204"/>
      <c r="K48" s="1204"/>
      <c r="L48" s="1204"/>
      <c r="M48" s="636" t="s">
        <v>123</v>
      </c>
      <c r="N48" s="549"/>
      <c r="O48" s="551">
        <v>0</v>
      </c>
      <c r="P48" s="552">
        <v>0</v>
      </c>
      <c r="Q48" s="552">
        <v>0</v>
      </c>
    </row>
    <row r="49" spans="2:24" ht="16.5" thickBot="1" x14ac:dyDescent="0.3">
      <c r="B49" s="1204"/>
      <c r="C49" s="1192"/>
      <c r="D49" s="555"/>
      <c r="E49" s="1199"/>
      <c r="F49" s="1201"/>
      <c r="G49" s="1201"/>
      <c r="H49" s="1209"/>
      <c r="I49" s="1204"/>
      <c r="J49" s="1204"/>
      <c r="K49" s="1204"/>
      <c r="L49" s="1204"/>
      <c r="M49" s="672" t="s">
        <v>124</v>
      </c>
      <c r="N49" s="556"/>
      <c r="O49" s="557">
        <v>80</v>
      </c>
      <c r="P49" s="676">
        <v>80</v>
      </c>
      <c r="Q49" s="676">
        <v>80</v>
      </c>
    </row>
    <row r="50" spans="2:24" ht="16.5" thickBot="1" x14ac:dyDescent="0.3">
      <c r="B50" s="1205"/>
      <c r="C50" s="1192"/>
      <c r="D50" s="558"/>
      <c r="E50" s="1208"/>
      <c r="F50" s="1202"/>
      <c r="G50" s="1202"/>
      <c r="H50" s="1210"/>
      <c r="I50" s="1205"/>
      <c r="J50" s="1205"/>
      <c r="K50" s="1205"/>
      <c r="L50" s="1205"/>
      <c r="M50" s="547" t="s">
        <v>745</v>
      </c>
      <c r="N50" s="559"/>
      <c r="O50" s="557">
        <v>0</v>
      </c>
      <c r="P50" s="676">
        <v>0</v>
      </c>
      <c r="Q50" s="676">
        <v>0</v>
      </c>
    </row>
    <row r="51" spans="2:24" ht="16.5" thickBot="1" x14ac:dyDescent="0.3">
      <c r="B51" s="1206" t="s">
        <v>63</v>
      </c>
      <c r="C51" s="1215">
        <v>69111</v>
      </c>
      <c r="D51" s="654">
        <v>27300364</v>
      </c>
      <c r="E51" s="1207" t="s">
        <v>192</v>
      </c>
      <c r="F51" s="1200" t="s">
        <v>260</v>
      </c>
      <c r="G51" s="1200" t="s">
        <v>230</v>
      </c>
      <c r="H51" s="1232" t="s">
        <v>240</v>
      </c>
      <c r="I51" s="1206" t="s">
        <v>263</v>
      </c>
      <c r="J51" s="1206" t="s">
        <v>947</v>
      </c>
      <c r="K51" s="1206" t="s">
        <v>263</v>
      </c>
      <c r="L51" s="1206" t="s">
        <v>263</v>
      </c>
      <c r="M51" s="542" t="s">
        <v>122</v>
      </c>
      <c r="N51" s="543" t="s">
        <v>269</v>
      </c>
      <c r="O51" s="544">
        <f>O52+O53+O54</f>
        <v>349.93</v>
      </c>
      <c r="P51" s="544">
        <f>P52+P53+P54</f>
        <v>349.93</v>
      </c>
      <c r="Q51" s="552">
        <f>Q52+Q53+Q54</f>
        <v>349.93</v>
      </c>
    </row>
    <row r="52" spans="2:24" ht="16.5" thickBot="1" x14ac:dyDescent="0.3">
      <c r="B52" s="1204"/>
      <c r="C52" s="1192"/>
      <c r="D52" s="555"/>
      <c r="E52" s="1199"/>
      <c r="F52" s="1201"/>
      <c r="G52" s="1201"/>
      <c r="H52" s="1209"/>
      <c r="I52" s="1204"/>
      <c r="J52" s="1204"/>
      <c r="K52" s="1204"/>
      <c r="L52" s="1204"/>
      <c r="M52" s="636" t="s">
        <v>123</v>
      </c>
      <c r="N52" s="549"/>
      <c r="O52" s="551">
        <v>0</v>
      </c>
      <c r="P52" s="552">
        <v>0</v>
      </c>
      <c r="Q52" s="552">
        <v>0</v>
      </c>
    </row>
    <row r="53" spans="2:24" ht="16.5" thickBot="1" x14ac:dyDescent="0.3">
      <c r="B53" s="1204"/>
      <c r="C53" s="1192"/>
      <c r="D53" s="555"/>
      <c r="E53" s="1199"/>
      <c r="F53" s="1201"/>
      <c r="G53" s="1201"/>
      <c r="H53" s="1209"/>
      <c r="I53" s="1204"/>
      <c r="J53" s="1204"/>
      <c r="K53" s="1204"/>
      <c r="L53" s="1204"/>
      <c r="M53" s="672" t="s">
        <v>124</v>
      </c>
      <c r="N53" s="556"/>
      <c r="O53" s="557">
        <v>349.93</v>
      </c>
      <c r="P53" s="676">
        <v>349.93</v>
      </c>
      <c r="Q53" s="676">
        <v>349.93</v>
      </c>
    </row>
    <row r="54" spans="2:24" ht="16.5" thickBot="1" x14ac:dyDescent="0.3">
      <c r="B54" s="1205"/>
      <c r="C54" s="1192"/>
      <c r="D54" s="558"/>
      <c r="E54" s="1208"/>
      <c r="F54" s="1202"/>
      <c r="G54" s="1202"/>
      <c r="H54" s="1210"/>
      <c r="I54" s="1205"/>
      <c r="J54" s="1205"/>
      <c r="K54" s="1205"/>
      <c r="L54" s="1205"/>
      <c r="M54" s="547" t="s">
        <v>745</v>
      </c>
      <c r="N54" s="559"/>
      <c r="O54" s="557">
        <v>0</v>
      </c>
      <c r="P54" s="676">
        <v>0</v>
      </c>
      <c r="Q54" s="676">
        <v>0</v>
      </c>
    </row>
    <row r="55" spans="2:24" ht="16.5" thickBot="1" x14ac:dyDescent="0.3">
      <c r="B55" s="1204" t="s">
        <v>63</v>
      </c>
      <c r="C55" s="1215">
        <v>69111</v>
      </c>
      <c r="D55" s="682">
        <v>27300364</v>
      </c>
      <c r="E55" s="1199" t="s">
        <v>192</v>
      </c>
      <c r="F55" s="1201" t="s">
        <v>951</v>
      </c>
      <c r="G55" s="1201" t="s">
        <v>952</v>
      </c>
      <c r="H55" s="1209" t="s">
        <v>240</v>
      </c>
      <c r="I55" s="1204" t="s">
        <v>953</v>
      </c>
      <c r="J55" s="1204" t="s">
        <v>947</v>
      </c>
      <c r="K55" s="1204" t="s">
        <v>953</v>
      </c>
      <c r="L55" s="1204" t="s">
        <v>953</v>
      </c>
      <c r="M55" s="672" t="s">
        <v>122</v>
      </c>
      <c r="N55" s="550" t="s">
        <v>270</v>
      </c>
      <c r="O55" s="561">
        <f>O56+O57</f>
        <v>75</v>
      </c>
      <c r="P55" s="561">
        <f>P56+P57</f>
        <v>75</v>
      </c>
      <c r="Q55" s="552">
        <f>Q56+Q57</f>
        <v>75</v>
      </c>
    </row>
    <row r="56" spans="2:24" ht="16.5" thickBot="1" x14ac:dyDescent="0.3">
      <c r="B56" s="1204"/>
      <c r="C56" s="1192"/>
      <c r="D56" s="555"/>
      <c r="E56" s="1199"/>
      <c r="F56" s="1201"/>
      <c r="G56" s="1201"/>
      <c r="H56" s="1209"/>
      <c r="I56" s="1204"/>
      <c r="J56" s="1204"/>
      <c r="K56" s="1204"/>
      <c r="L56" s="1204"/>
      <c r="M56" s="636" t="s">
        <v>123</v>
      </c>
      <c r="N56" s="549"/>
      <c r="O56" s="551">
        <v>0</v>
      </c>
      <c r="P56" s="552">
        <v>0</v>
      </c>
      <c r="Q56" s="552">
        <v>0</v>
      </c>
    </row>
    <row r="57" spans="2:24" ht="16.5" thickBot="1" x14ac:dyDescent="0.3">
      <c r="B57" s="1204"/>
      <c r="C57" s="1192"/>
      <c r="D57" s="555"/>
      <c r="E57" s="1199"/>
      <c r="F57" s="1201"/>
      <c r="G57" s="1201"/>
      <c r="H57" s="1209"/>
      <c r="I57" s="1204"/>
      <c r="J57" s="1204"/>
      <c r="K57" s="1204"/>
      <c r="L57" s="1204"/>
      <c r="M57" s="672" t="s">
        <v>124</v>
      </c>
      <c r="N57" s="556"/>
      <c r="O57" s="557">
        <v>75</v>
      </c>
      <c r="P57" s="676">
        <v>75</v>
      </c>
      <c r="Q57" s="676">
        <v>75</v>
      </c>
    </row>
    <row r="58" spans="2:24" ht="16.5" thickBot="1" x14ac:dyDescent="0.3">
      <c r="B58" s="1204"/>
      <c r="C58" s="1192"/>
      <c r="D58" s="680"/>
      <c r="E58" s="1199"/>
      <c r="F58" s="1201"/>
      <c r="G58" s="1201"/>
      <c r="H58" s="1209"/>
      <c r="I58" s="1204"/>
      <c r="J58" s="1204"/>
      <c r="K58" s="1204"/>
      <c r="L58" s="1204"/>
      <c r="M58" s="671" t="s">
        <v>745</v>
      </c>
      <c r="N58" s="560"/>
      <c r="O58" s="561">
        <v>0</v>
      </c>
      <c r="P58" s="562">
        <v>0</v>
      </c>
      <c r="Q58" s="562">
        <v>0</v>
      </c>
    </row>
    <row r="59" spans="2:24" ht="16.5" thickBot="1" x14ac:dyDescent="0.3">
      <c r="B59" s="1206" t="s">
        <v>63</v>
      </c>
      <c r="C59" s="1215">
        <v>69111</v>
      </c>
      <c r="D59" s="654">
        <v>27300364</v>
      </c>
      <c r="E59" s="1207" t="s">
        <v>192</v>
      </c>
      <c r="F59" s="1200" t="s">
        <v>954</v>
      </c>
      <c r="G59" s="1200" t="s">
        <v>955</v>
      </c>
      <c r="H59" s="1232" t="s">
        <v>240</v>
      </c>
      <c r="I59" s="1206" t="s">
        <v>953</v>
      </c>
      <c r="J59" s="1206" t="s">
        <v>947</v>
      </c>
      <c r="K59" s="1206" t="s">
        <v>953</v>
      </c>
      <c r="L59" s="1206" t="s">
        <v>953</v>
      </c>
      <c r="M59" s="542" t="s">
        <v>122</v>
      </c>
      <c r="N59" s="543" t="s">
        <v>271</v>
      </c>
      <c r="O59" s="544">
        <f>O60+O61</f>
        <v>40</v>
      </c>
      <c r="P59" s="544">
        <f>P60+P61</f>
        <v>40</v>
      </c>
      <c r="Q59" s="552">
        <f>Q60+Q61</f>
        <v>40</v>
      </c>
    </row>
    <row r="60" spans="2:24" ht="16.5" thickBot="1" x14ac:dyDescent="0.3">
      <c r="B60" s="1204"/>
      <c r="C60" s="1192"/>
      <c r="D60" s="555"/>
      <c r="E60" s="1199"/>
      <c r="F60" s="1201"/>
      <c r="G60" s="1201"/>
      <c r="H60" s="1209"/>
      <c r="I60" s="1204"/>
      <c r="J60" s="1204"/>
      <c r="K60" s="1204"/>
      <c r="L60" s="1204"/>
      <c r="M60" s="636" t="s">
        <v>123</v>
      </c>
      <c r="N60" s="549"/>
      <c r="O60" s="551">
        <v>0</v>
      </c>
      <c r="P60" s="552">
        <v>0</v>
      </c>
      <c r="Q60" s="552">
        <v>0</v>
      </c>
    </row>
    <row r="61" spans="2:24" ht="16.5" thickBot="1" x14ac:dyDescent="0.3">
      <c r="B61" s="1204"/>
      <c r="C61" s="1192"/>
      <c r="D61" s="555"/>
      <c r="E61" s="1199"/>
      <c r="F61" s="1201"/>
      <c r="G61" s="1201"/>
      <c r="H61" s="1209"/>
      <c r="I61" s="1204"/>
      <c r="J61" s="1204"/>
      <c r="K61" s="1204"/>
      <c r="L61" s="1204"/>
      <c r="M61" s="672" t="s">
        <v>124</v>
      </c>
      <c r="N61" s="556"/>
      <c r="O61" s="557">
        <v>40</v>
      </c>
      <c r="P61" s="676">
        <v>40</v>
      </c>
      <c r="Q61" s="676">
        <v>40</v>
      </c>
    </row>
    <row r="62" spans="2:24" ht="16.5" thickBot="1" x14ac:dyDescent="0.3">
      <c r="B62" s="1205"/>
      <c r="C62" s="1192"/>
      <c r="D62" s="558"/>
      <c r="E62" s="1208"/>
      <c r="F62" s="1202"/>
      <c r="G62" s="1202"/>
      <c r="H62" s="1210"/>
      <c r="I62" s="1205"/>
      <c r="J62" s="1205"/>
      <c r="K62" s="1205"/>
      <c r="L62" s="1205"/>
      <c r="M62" s="547" t="s">
        <v>745</v>
      </c>
      <c r="N62" s="559"/>
      <c r="O62" s="557">
        <v>0</v>
      </c>
      <c r="P62" s="676">
        <v>0</v>
      </c>
      <c r="Q62" s="676">
        <v>0</v>
      </c>
    </row>
    <row r="63" spans="2:24" ht="16.5" thickBot="1" x14ac:dyDescent="0.3">
      <c r="B63" s="1206" t="s">
        <v>63</v>
      </c>
      <c r="C63" s="1215">
        <v>69111</v>
      </c>
      <c r="D63" s="654" t="s">
        <v>116</v>
      </c>
      <c r="E63" s="1207" t="s">
        <v>116</v>
      </c>
      <c r="F63" s="1200" t="s">
        <v>236</v>
      </c>
      <c r="G63" s="1200" t="s">
        <v>230</v>
      </c>
      <c r="H63" s="1232" t="s">
        <v>240</v>
      </c>
      <c r="I63" s="1264">
        <f>I67+I71+I75+I79+I83+I87+I91+I95+I99+I103</f>
        <v>139</v>
      </c>
      <c r="J63" s="1206" t="s">
        <v>528</v>
      </c>
      <c r="K63" s="1264">
        <f>K67+K71+K75+K79+K83+K87+K91+K95+K99+K103</f>
        <v>139</v>
      </c>
      <c r="L63" s="1264">
        <f>L67+L71+L75+L79+L83+L87+L91+L95+L99+L103</f>
        <v>139</v>
      </c>
      <c r="M63" s="542" t="s">
        <v>122</v>
      </c>
      <c r="N63" s="543" t="e">
        <f>#REF!+#REF!+N67+N71+N75</f>
        <v>#REF!</v>
      </c>
      <c r="O63" s="544">
        <f>O64+O65</f>
        <v>36936.99</v>
      </c>
      <c r="P63" s="544">
        <f>P64+P65</f>
        <v>38205.019999999997</v>
      </c>
      <c r="Q63" s="552">
        <f>Q64+Q65</f>
        <v>39391.793999999994</v>
      </c>
      <c r="R63" s="51">
        <f>36936995.88/1000</f>
        <v>36936.995880000002</v>
      </c>
      <c r="S63" s="51">
        <f>38205018.79/1000</f>
        <v>38205.018790000002</v>
      </c>
      <c r="T63" s="51">
        <f>39391794.79/1000</f>
        <v>39391.79479</v>
      </c>
      <c r="V63" s="707">
        <v>36936995.880000003</v>
      </c>
      <c r="W63" s="784">
        <v>38205018.789999999</v>
      </c>
      <c r="X63" s="51">
        <v>39391794.789999999</v>
      </c>
    </row>
    <row r="64" spans="2:24" ht="16.5" thickBot="1" x14ac:dyDescent="0.3">
      <c r="B64" s="1204"/>
      <c r="C64" s="1192"/>
      <c r="D64" s="555"/>
      <c r="E64" s="1199"/>
      <c r="F64" s="1201"/>
      <c r="G64" s="1201"/>
      <c r="H64" s="1209"/>
      <c r="I64" s="1265"/>
      <c r="J64" s="1204"/>
      <c r="K64" s="1265"/>
      <c r="L64" s="1265"/>
      <c r="M64" s="636" t="s">
        <v>123</v>
      </c>
      <c r="N64" s="549"/>
      <c r="O64" s="551">
        <v>0</v>
      </c>
      <c r="P64" s="552">
        <v>0</v>
      </c>
      <c r="Q64" s="552">
        <v>0</v>
      </c>
      <c r="R64" s="51">
        <f>R63-O63</f>
        <v>5.8800000042538159E-3</v>
      </c>
      <c r="S64" s="51">
        <f>S63-P63</f>
        <v>-1.2099999948986806E-3</v>
      </c>
      <c r="T64" s="51">
        <f>T63-Q63</f>
        <v>7.9000000550877303E-4</v>
      </c>
    </row>
    <row r="65" spans="2:17" ht="16.5" thickBot="1" x14ac:dyDescent="0.3">
      <c r="B65" s="1204"/>
      <c r="C65" s="1192"/>
      <c r="D65" s="555"/>
      <c r="E65" s="1199"/>
      <c r="F65" s="1201"/>
      <c r="G65" s="1201"/>
      <c r="H65" s="1209"/>
      <c r="I65" s="1265"/>
      <c r="J65" s="1204"/>
      <c r="K65" s="1265"/>
      <c r="L65" s="1265"/>
      <c r="M65" s="672" t="s">
        <v>124</v>
      </c>
      <c r="N65" s="556"/>
      <c r="O65" s="557">
        <f>O69+O73+O77+O81+O85+O89+O93+O97+O101+O105+O109</f>
        <v>36936.99</v>
      </c>
      <c r="P65" s="557">
        <f>P69+P73+P77+P81+P85+P89+P93+P97+P101+P105+P109</f>
        <v>38205.019999999997</v>
      </c>
      <c r="Q65" s="676">
        <f>Q69+Q73+Q77+Q81+Q85+Q89+Q93+Q97+Q101+Q105+Q109</f>
        <v>39391.793999999994</v>
      </c>
    </row>
    <row r="66" spans="2:17" ht="16.5" thickBot="1" x14ac:dyDescent="0.3">
      <c r="B66" s="1205"/>
      <c r="C66" s="1216"/>
      <c r="D66" s="558"/>
      <c r="E66" s="1208"/>
      <c r="F66" s="1202"/>
      <c r="G66" s="1202"/>
      <c r="H66" s="1210"/>
      <c r="I66" s="1266"/>
      <c r="J66" s="1205"/>
      <c r="K66" s="1266"/>
      <c r="L66" s="1266"/>
      <c r="M66" s="547" t="s">
        <v>745</v>
      </c>
      <c r="N66" s="559"/>
      <c r="O66" s="557">
        <v>0</v>
      </c>
      <c r="P66" s="676">
        <v>0</v>
      </c>
      <c r="Q66" s="676">
        <v>0</v>
      </c>
    </row>
    <row r="67" spans="2:17" ht="16.5" thickBot="1" x14ac:dyDescent="0.3">
      <c r="B67" s="1204" t="s">
        <v>63</v>
      </c>
      <c r="C67" s="1192">
        <v>69111</v>
      </c>
      <c r="D67" s="682">
        <v>27300364</v>
      </c>
      <c r="E67" s="1199" t="s">
        <v>422</v>
      </c>
      <c r="F67" s="1201" t="s">
        <v>932</v>
      </c>
      <c r="G67" s="1201" t="s">
        <v>232</v>
      </c>
      <c r="H67" s="1209" t="s">
        <v>240</v>
      </c>
      <c r="I67" s="1262" t="s">
        <v>263</v>
      </c>
      <c r="J67" s="1204" t="s">
        <v>528</v>
      </c>
      <c r="K67" s="1204" t="s">
        <v>263</v>
      </c>
      <c r="L67" s="1204" t="s">
        <v>263</v>
      </c>
      <c r="M67" s="672" t="s">
        <v>122</v>
      </c>
      <c r="N67" s="550" t="s">
        <v>619</v>
      </c>
      <c r="O67" s="561">
        <f>O69</f>
        <v>456</v>
      </c>
      <c r="P67" s="561">
        <f>P69</f>
        <v>456</v>
      </c>
      <c r="Q67" s="552">
        <f>Q69</f>
        <v>456</v>
      </c>
    </row>
    <row r="68" spans="2:17" ht="16.5" thickBot="1" x14ac:dyDescent="0.3">
      <c r="B68" s="1204"/>
      <c r="C68" s="1192"/>
      <c r="D68" s="555"/>
      <c r="E68" s="1199"/>
      <c r="F68" s="1201"/>
      <c r="G68" s="1201"/>
      <c r="H68" s="1209"/>
      <c r="I68" s="1262"/>
      <c r="J68" s="1204"/>
      <c r="K68" s="1204"/>
      <c r="L68" s="1204"/>
      <c r="M68" s="636" t="s">
        <v>123</v>
      </c>
      <c r="N68" s="549"/>
      <c r="O68" s="551">
        <v>0</v>
      </c>
      <c r="P68" s="552">
        <v>0</v>
      </c>
      <c r="Q68" s="552">
        <v>0</v>
      </c>
    </row>
    <row r="69" spans="2:17" ht="16.5" thickBot="1" x14ac:dyDescent="0.3">
      <c r="B69" s="1204"/>
      <c r="C69" s="1192"/>
      <c r="D69" s="555"/>
      <c r="E69" s="1199"/>
      <c r="F69" s="1201"/>
      <c r="G69" s="1201"/>
      <c r="H69" s="1209"/>
      <c r="I69" s="1262"/>
      <c r="J69" s="1204"/>
      <c r="K69" s="1204"/>
      <c r="L69" s="1204"/>
      <c r="M69" s="672" t="s">
        <v>124</v>
      </c>
      <c r="N69" s="556"/>
      <c r="O69" s="551">
        <v>456</v>
      </c>
      <c r="P69" s="552">
        <v>456</v>
      </c>
      <c r="Q69" s="552">
        <v>456</v>
      </c>
    </row>
    <row r="70" spans="2:17" ht="16.5" thickBot="1" x14ac:dyDescent="0.3">
      <c r="B70" s="1204"/>
      <c r="C70" s="1192"/>
      <c r="D70" s="680"/>
      <c r="E70" s="1199"/>
      <c r="F70" s="1201"/>
      <c r="G70" s="1201"/>
      <c r="H70" s="1209"/>
      <c r="I70" s="1262"/>
      <c r="J70" s="1204"/>
      <c r="K70" s="1204"/>
      <c r="L70" s="1204"/>
      <c r="M70" s="671" t="s">
        <v>745</v>
      </c>
      <c r="N70" s="560"/>
      <c r="O70" s="561">
        <v>0</v>
      </c>
      <c r="P70" s="562">
        <v>0</v>
      </c>
      <c r="Q70" s="562">
        <v>0</v>
      </c>
    </row>
    <row r="71" spans="2:17" ht="16.5" thickBot="1" x14ac:dyDescent="0.3">
      <c r="B71" s="1206" t="s">
        <v>63</v>
      </c>
      <c r="C71" s="1215">
        <v>69111</v>
      </c>
      <c r="D71" s="654">
        <v>27300364</v>
      </c>
      <c r="E71" s="1207" t="s">
        <v>426</v>
      </c>
      <c r="F71" s="1200" t="s">
        <v>561</v>
      </c>
      <c r="G71" s="1200" t="s">
        <v>232</v>
      </c>
      <c r="H71" s="1232" t="s">
        <v>240</v>
      </c>
      <c r="I71" s="1261" t="s">
        <v>263</v>
      </c>
      <c r="J71" s="1206" t="s">
        <v>956</v>
      </c>
      <c r="K71" s="1206" t="s">
        <v>263</v>
      </c>
      <c r="L71" s="1206" t="s">
        <v>263</v>
      </c>
      <c r="M71" s="542" t="s">
        <v>122</v>
      </c>
      <c r="N71" s="543" t="s">
        <v>618</v>
      </c>
      <c r="O71" s="544">
        <f>O73</f>
        <v>398</v>
      </c>
      <c r="P71" s="544">
        <f>P73</f>
        <v>398</v>
      </c>
      <c r="Q71" s="552">
        <f>Q73</f>
        <v>398</v>
      </c>
    </row>
    <row r="72" spans="2:17" ht="16.5" thickBot="1" x14ac:dyDescent="0.3">
      <c r="B72" s="1204"/>
      <c r="C72" s="1192"/>
      <c r="D72" s="555"/>
      <c r="E72" s="1199"/>
      <c r="F72" s="1201"/>
      <c r="G72" s="1201"/>
      <c r="H72" s="1209"/>
      <c r="I72" s="1262"/>
      <c r="J72" s="1204"/>
      <c r="K72" s="1204"/>
      <c r="L72" s="1204"/>
      <c r="M72" s="636" t="s">
        <v>123</v>
      </c>
      <c r="N72" s="549"/>
      <c r="O72" s="551">
        <v>0</v>
      </c>
      <c r="P72" s="552">
        <v>0</v>
      </c>
      <c r="Q72" s="552">
        <v>0</v>
      </c>
    </row>
    <row r="73" spans="2:17" ht="16.5" thickBot="1" x14ac:dyDescent="0.3">
      <c r="B73" s="1204"/>
      <c r="C73" s="1192"/>
      <c r="D73" s="555"/>
      <c r="E73" s="1199"/>
      <c r="F73" s="1201"/>
      <c r="G73" s="1201"/>
      <c r="H73" s="1209"/>
      <c r="I73" s="1262"/>
      <c r="J73" s="1204"/>
      <c r="K73" s="1204"/>
      <c r="L73" s="1204"/>
      <c r="M73" s="672" t="s">
        <v>124</v>
      </c>
      <c r="N73" s="556"/>
      <c r="O73" s="551">
        <v>398</v>
      </c>
      <c r="P73" s="551">
        <v>398</v>
      </c>
      <c r="Q73" s="552">
        <v>398</v>
      </c>
    </row>
    <row r="74" spans="2:17" ht="16.5" thickBot="1" x14ac:dyDescent="0.3">
      <c r="B74" s="1205"/>
      <c r="C74" s="1192"/>
      <c r="D74" s="558"/>
      <c r="E74" s="1208"/>
      <c r="F74" s="1202"/>
      <c r="G74" s="1202"/>
      <c r="H74" s="1210"/>
      <c r="I74" s="1263"/>
      <c r="J74" s="1205"/>
      <c r="K74" s="1205"/>
      <c r="L74" s="1205"/>
      <c r="M74" s="547" t="s">
        <v>745</v>
      </c>
      <c r="N74" s="559"/>
      <c r="O74" s="557">
        <v>0</v>
      </c>
      <c r="P74" s="676">
        <v>0</v>
      </c>
      <c r="Q74" s="676">
        <v>0</v>
      </c>
    </row>
    <row r="75" spans="2:17" ht="16.5" thickBot="1" x14ac:dyDescent="0.3">
      <c r="B75" s="1206" t="s">
        <v>63</v>
      </c>
      <c r="C75" s="1215">
        <v>69111</v>
      </c>
      <c r="D75" s="654">
        <v>27300364</v>
      </c>
      <c r="E75" s="1207" t="s">
        <v>200</v>
      </c>
      <c r="F75" s="1200" t="s">
        <v>1033</v>
      </c>
      <c r="G75" s="1201" t="s">
        <v>232</v>
      </c>
      <c r="H75" s="1232" t="s">
        <v>240</v>
      </c>
      <c r="I75" s="1261" t="s">
        <v>263</v>
      </c>
      <c r="J75" s="1206" t="s">
        <v>1032</v>
      </c>
      <c r="K75" s="1206" t="s">
        <v>263</v>
      </c>
      <c r="L75" s="1206" t="s">
        <v>263</v>
      </c>
      <c r="M75" s="542" t="s">
        <v>122</v>
      </c>
      <c r="N75" s="543" t="s">
        <v>277</v>
      </c>
      <c r="O75" s="544">
        <f>O76+O77+O78</f>
        <v>972</v>
      </c>
      <c r="P75" s="675">
        <f>P76+P77+P78</f>
        <v>972</v>
      </c>
      <c r="Q75" s="675">
        <f>Q76+Q77+Q78</f>
        <v>972</v>
      </c>
    </row>
    <row r="76" spans="2:17" ht="16.5" thickBot="1" x14ac:dyDescent="0.3">
      <c r="B76" s="1204"/>
      <c r="C76" s="1192"/>
      <c r="D76" s="555"/>
      <c r="E76" s="1199"/>
      <c r="F76" s="1201"/>
      <c r="G76" s="1201"/>
      <c r="H76" s="1209"/>
      <c r="I76" s="1262"/>
      <c r="J76" s="1204"/>
      <c r="K76" s="1204"/>
      <c r="L76" s="1204"/>
      <c r="M76" s="636" t="s">
        <v>123</v>
      </c>
      <c r="N76" s="549"/>
      <c r="O76" s="551">
        <v>0</v>
      </c>
      <c r="P76" s="552">
        <v>0</v>
      </c>
      <c r="Q76" s="552">
        <v>0</v>
      </c>
    </row>
    <row r="77" spans="2:17" ht="16.5" thickBot="1" x14ac:dyDescent="0.3">
      <c r="B77" s="1204"/>
      <c r="C77" s="1192"/>
      <c r="D77" s="555"/>
      <c r="E77" s="1199"/>
      <c r="F77" s="1201"/>
      <c r="G77" s="1201"/>
      <c r="H77" s="1209"/>
      <c r="I77" s="1262"/>
      <c r="J77" s="1204"/>
      <c r="K77" s="1204"/>
      <c r="L77" s="1204"/>
      <c r="M77" s="672" t="s">
        <v>124</v>
      </c>
      <c r="N77" s="556"/>
      <c r="O77" s="551">
        <v>972</v>
      </c>
      <c r="P77" s="551">
        <v>972</v>
      </c>
      <c r="Q77" s="552">
        <v>972</v>
      </c>
    </row>
    <row r="78" spans="2:17" ht="16.5" thickBot="1" x14ac:dyDescent="0.3">
      <c r="B78" s="1205"/>
      <c r="C78" s="1192"/>
      <c r="D78" s="558"/>
      <c r="E78" s="1208"/>
      <c r="F78" s="1202"/>
      <c r="G78" s="1201"/>
      <c r="H78" s="1210"/>
      <c r="I78" s="1263"/>
      <c r="J78" s="1205"/>
      <c r="K78" s="1205"/>
      <c r="L78" s="1205"/>
      <c r="M78" s="547" t="s">
        <v>745</v>
      </c>
      <c r="N78" s="559"/>
      <c r="O78" s="557">
        <v>0</v>
      </c>
      <c r="P78" s="676">
        <v>0</v>
      </c>
      <c r="Q78" s="676">
        <v>0</v>
      </c>
    </row>
    <row r="79" spans="2:17" ht="16.5" thickBot="1" x14ac:dyDescent="0.3">
      <c r="B79" s="1206" t="s">
        <v>63</v>
      </c>
      <c r="C79" s="1215">
        <v>69111</v>
      </c>
      <c r="D79" s="654">
        <v>27300364</v>
      </c>
      <c r="E79" s="1207" t="s">
        <v>383</v>
      </c>
      <c r="F79" s="1200" t="s">
        <v>802</v>
      </c>
      <c r="G79" s="1200" t="s">
        <v>232</v>
      </c>
      <c r="H79" s="1232" t="s">
        <v>240</v>
      </c>
      <c r="I79" s="1261" t="s">
        <v>263</v>
      </c>
      <c r="J79" s="1206" t="s">
        <v>958</v>
      </c>
      <c r="K79" s="1206" t="s">
        <v>263</v>
      </c>
      <c r="L79" s="1206" t="s">
        <v>263</v>
      </c>
      <c r="M79" s="542" t="s">
        <v>122</v>
      </c>
      <c r="N79" s="543" t="s">
        <v>277</v>
      </c>
      <c r="O79" s="544">
        <f>O80+O81</f>
        <v>63</v>
      </c>
      <c r="P79" s="544">
        <f>P80+P81</f>
        <v>63</v>
      </c>
      <c r="Q79" s="552">
        <f>Q80+Q81</f>
        <v>63</v>
      </c>
    </row>
    <row r="80" spans="2:17" ht="16.5" thickBot="1" x14ac:dyDescent="0.3">
      <c r="B80" s="1204"/>
      <c r="C80" s="1192"/>
      <c r="D80" s="555"/>
      <c r="E80" s="1199"/>
      <c r="F80" s="1201"/>
      <c r="G80" s="1201"/>
      <c r="H80" s="1209"/>
      <c r="I80" s="1262"/>
      <c r="J80" s="1204"/>
      <c r="K80" s="1204"/>
      <c r="L80" s="1204"/>
      <c r="M80" s="636" t="s">
        <v>123</v>
      </c>
      <c r="N80" s="549"/>
      <c r="O80" s="551">
        <v>0</v>
      </c>
      <c r="P80" s="552">
        <v>0</v>
      </c>
      <c r="Q80" s="552">
        <v>0</v>
      </c>
    </row>
    <row r="81" spans="2:17" ht="16.5" thickBot="1" x14ac:dyDescent="0.3">
      <c r="B81" s="1204"/>
      <c r="C81" s="1192"/>
      <c r="D81" s="555"/>
      <c r="E81" s="1199"/>
      <c r="F81" s="1201"/>
      <c r="G81" s="1201"/>
      <c r="H81" s="1209"/>
      <c r="I81" s="1262"/>
      <c r="J81" s="1204"/>
      <c r="K81" s="1204"/>
      <c r="L81" s="1204"/>
      <c r="M81" s="672" t="s">
        <v>124</v>
      </c>
      <c r="N81" s="556"/>
      <c r="O81" s="551">
        <v>63</v>
      </c>
      <c r="P81" s="552">
        <v>63</v>
      </c>
      <c r="Q81" s="552">
        <v>63</v>
      </c>
    </row>
    <row r="82" spans="2:17" ht="16.5" thickBot="1" x14ac:dyDescent="0.3">
      <c r="B82" s="1205"/>
      <c r="C82" s="1192"/>
      <c r="D82" s="558"/>
      <c r="E82" s="1208"/>
      <c r="F82" s="1202"/>
      <c r="G82" s="1202"/>
      <c r="H82" s="1210"/>
      <c r="I82" s="1263"/>
      <c r="J82" s="1205"/>
      <c r="K82" s="1205"/>
      <c r="L82" s="1205"/>
      <c r="M82" s="547" t="s">
        <v>745</v>
      </c>
      <c r="N82" s="559"/>
      <c r="O82" s="557">
        <v>0</v>
      </c>
      <c r="P82" s="676">
        <v>0</v>
      </c>
      <c r="Q82" s="676">
        <v>0</v>
      </c>
    </row>
    <row r="83" spans="2:17" ht="16.5" thickBot="1" x14ac:dyDescent="0.3">
      <c r="B83" s="1206" t="s">
        <v>63</v>
      </c>
      <c r="C83" s="1215">
        <v>69111</v>
      </c>
      <c r="D83" s="654">
        <v>27300365</v>
      </c>
      <c r="E83" s="1207" t="s">
        <v>933</v>
      </c>
      <c r="F83" s="1267" t="s">
        <v>899</v>
      </c>
      <c r="G83" s="1201" t="s">
        <v>232</v>
      </c>
      <c r="H83" s="1209" t="s">
        <v>240</v>
      </c>
      <c r="I83" s="1204" t="s">
        <v>263</v>
      </c>
      <c r="J83" s="1204" t="s">
        <v>947</v>
      </c>
      <c r="K83" s="1204" t="s">
        <v>263</v>
      </c>
      <c r="L83" s="1204" t="s">
        <v>263</v>
      </c>
      <c r="M83" s="672" t="s">
        <v>122</v>
      </c>
      <c r="N83" s="550" t="s">
        <v>270</v>
      </c>
      <c r="O83" s="561">
        <f>O84+O85</f>
        <v>536</v>
      </c>
      <c r="P83" s="561">
        <f>P84+P85</f>
        <v>536</v>
      </c>
      <c r="Q83" s="675">
        <f>Q84+Q85</f>
        <v>536</v>
      </c>
    </row>
    <row r="84" spans="2:17" ht="16.5" thickBot="1" x14ac:dyDescent="0.3">
      <c r="B84" s="1204"/>
      <c r="C84" s="1192"/>
      <c r="D84" s="555"/>
      <c r="E84" s="1199"/>
      <c r="F84" s="1267"/>
      <c r="G84" s="1201"/>
      <c r="H84" s="1209"/>
      <c r="I84" s="1204"/>
      <c r="J84" s="1204"/>
      <c r="K84" s="1204"/>
      <c r="L84" s="1204"/>
      <c r="M84" s="636" t="s">
        <v>123</v>
      </c>
      <c r="N84" s="549"/>
      <c r="O84" s="551">
        <v>0</v>
      </c>
      <c r="P84" s="552">
        <v>0</v>
      </c>
      <c r="Q84" s="552">
        <v>0</v>
      </c>
    </row>
    <row r="85" spans="2:17" ht="16.5" thickBot="1" x14ac:dyDescent="0.3">
      <c r="B85" s="1204"/>
      <c r="C85" s="1192"/>
      <c r="D85" s="555"/>
      <c r="E85" s="1199"/>
      <c r="F85" s="1267"/>
      <c r="G85" s="1201"/>
      <c r="H85" s="1209"/>
      <c r="I85" s="1204"/>
      <c r="J85" s="1204"/>
      <c r="K85" s="1204"/>
      <c r="L85" s="1204"/>
      <c r="M85" s="672" t="s">
        <v>124</v>
      </c>
      <c r="N85" s="556"/>
      <c r="O85" s="557">
        <v>536</v>
      </c>
      <c r="P85" s="676">
        <v>536</v>
      </c>
      <c r="Q85" s="676">
        <v>536</v>
      </c>
    </row>
    <row r="86" spans="2:17" ht="16.5" thickBot="1" x14ac:dyDescent="0.3">
      <c r="B86" s="1204"/>
      <c r="C86" s="1192"/>
      <c r="D86" s="680"/>
      <c r="E86" s="1199"/>
      <c r="F86" s="1267"/>
      <c r="G86" s="1201"/>
      <c r="H86" s="1209"/>
      <c r="I86" s="1204"/>
      <c r="J86" s="1204"/>
      <c r="K86" s="1204"/>
      <c r="L86" s="1204"/>
      <c r="M86" s="671" t="s">
        <v>745</v>
      </c>
      <c r="N86" s="560"/>
      <c r="O86" s="561">
        <v>0</v>
      </c>
      <c r="P86" s="562">
        <v>0</v>
      </c>
      <c r="Q86" s="562">
        <v>0</v>
      </c>
    </row>
    <row r="87" spans="2:17" ht="16.5" thickBot="1" x14ac:dyDescent="0.3">
      <c r="B87" s="1206" t="s">
        <v>63</v>
      </c>
      <c r="C87" s="1215">
        <v>69111</v>
      </c>
      <c r="D87" s="654">
        <v>27300367</v>
      </c>
      <c r="E87" s="1207" t="s">
        <v>575</v>
      </c>
      <c r="F87" s="1268" t="s">
        <v>686</v>
      </c>
      <c r="G87" s="1200" t="s">
        <v>232</v>
      </c>
      <c r="H87" s="1232" t="s">
        <v>240</v>
      </c>
      <c r="I87" s="1206" t="s">
        <v>263</v>
      </c>
      <c r="J87" s="1206" t="s">
        <v>957</v>
      </c>
      <c r="K87" s="1206" t="s">
        <v>263</v>
      </c>
      <c r="L87" s="1206" t="s">
        <v>263</v>
      </c>
      <c r="M87" s="542" t="s">
        <v>122</v>
      </c>
      <c r="N87" s="543" t="s">
        <v>271</v>
      </c>
      <c r="O87" s="544">
        <f>O88+O89</f>
        <v>80</v>
      </c>
      <c r="P87" s="544">
        <f>P88+P89</f>
        <v>80</v>
      </c>
      <c r="Q87" s="552">
        <f>Q88+Q89</f>
        <v>80</v>
      </c>
    </row>
    <row r="88" spans="2:17" ht="16.5" thickBot="1" x14ac:dyDescent="0.3">
      <c r="B88" s="1204"/>
      <c r="C88" s="1192"/>
      <c r="D88" s="555"/>
      <c r="E88" s="1199"/>
      <c r="F88" s="1267"/>
      <c r="G88" s="1201"/>
      <c r="H88" s="1209"/>
      <c r="I88" s="1204"/>
      <c r="J88" s="1204"/>
      <c r="K88" s="1204"/>
      <c r="L88" s="1204"/>
      <c r="M88" s="636" t="s">
        <v>123</v>
      </c>
      <c r="N88" s="549"/>
      <c r="O88" s="551">
        <v>0</v>
      </c>
      <c r="P88" s="552">
        <v>0</v>
      </c>
      <c r="Q88" s="552">
        <v>0</v>
      </c>
    </row>
    <row r="89" spans="2:17" ht="16.5" thickBot="1" x14ac:dyDescent="0.3">
      <c r="B89" s="1204"/>
      <c r="C89" s="1192"/>
      <c r="D89" s="555"/>
      <c r="E89" s="1199"/>
      <c r="F89" s="1267"/>
      <c r="G89" s="1201"/>
      <c r="H89" s="1209"/>
      <c r="I89" s="1204"/>
      <c r="J89" s="1204"/>
      <c r="K89" s="1204"/>
      <c r="L89" s="1204"/>
      <c r="M89" s="672" t="s">
        <v>124</v>
      </c>
      <c r="N89" s="556"/>
      <c r="O89" s="557">
        <v>80</v>
      </c>
      <c r="P89" s="676">
        <v>80</v>
      </c>
      <c r="Q89" s="676">
        <v>80</v>
      </c>
    </row>
    <row r="90" spans="2:17" ht="16.5" thickBot="1" x14ac:dyDescent="0.3">
      <c r="B90" s="1205"/>
      <c r="C90" s="1216"/>
      <c r="D90" s="558"/>
      <c r="E90" s="1208"/>
      <c r="F90" s="1256"/>
      <c r="G90" s="1202"/>
      <c r="H90" s="1210"/>
      <c r="I90" s="1205"/>
      <c r="J90" s="1205"/>
      <c r="K90" s="1205"/>
      <c r="L90" s="1205"/>
      <c r="M90" s="547" t="s">
        <v>745</v>
      </c>
      <c r="N90" s="559"/>
      <c r="O90" s="557">
        <v>0</v>
      </c>
      <c r="P90" s="676">
        <v>0</v>
      </c>
      <c r="Q90" s="676">
        <v>0</v>
      </c>
    </row>
    <row r="91" spans="2:17" ht="16.5" thickBot="1" x14ac:dyDescent="0.3">
      <c r="B91" s="1206" t="s">
        <v>63</v>
      </c>
      <c r="C91" s="1215">
        <v>69111</v>
      </c>
      <c r="D91" s="1229" t="s">
        <v>923</v>
      </c>
      <c r="E91" s="1207" t="s">
        <v>503</v>
      </c>
      <c r="F91" s="1200" t="s">
        <v>287</v>
      </c>
      <c r="G91" s="1201" t="s">
        <v>232</v>
      </c>
      <c r="H91" s="1207" t="s">
        <v>393</v>
      </c>
      <c r="I91" s="1206" t="s">
        <v>268</v>
      </c>
      <c r="J91" s="1206" t="s">
        <v>528</v>
      </c>
      <c r="K91" s="1206" t="s">
        <v>268</v>
      </c>
      <c r="L91" s="1206" t="s">
        <v>268</v>
      </c>
      <c r="M91" s="542" t="s">
        <v>122</v>
      </c>
      <c r="N91" s="543" t="s">
        <v>959</v>
      </c>
      <c r="O91" s="544">
        <f>O92+O93</f>
        <v>1068.17</v>
      </c>
      <c r="P91" s="544">
        <f>P92+P93</f>
        <v>1069.7</v>
      </c>
      <c r="Q91" s="552">
        <f>Q92+Q93</f>
        <v>1069.7</v>
      </c>
    </row>
    <row r="92" spans="2:17" ht="16.5" thickBot="1" x14ac:dyDescent="0.3">
      <c r="B92" s="1204"/>
      <c r="C92" s="1192"/>
      <c r="D92" s="1245"/>
      <c r="E92" s="1199"/>
      <c r="F92" s="1201"/>
      <c r="G92" s="1201"/>
      <c r="H92" s="1199"/>
      <c r="I92" s="1204"/>
      <c r="J92" s="1204"/>
      <c r="K92" s="1204"/>
      <c r="L92" s="1204"/>
      <c r="M92" s="636" t="s">
        <v>123</v>
      </c>
      <c r="N92" s="549"/>
      <c r="O92" s="551">
        <v>0</v>
      </c>
      <c r="P92" s="552">
        <v>0</v>
      </c>
      <c r="Q92" s="552">
        <v>0</v>
      </c>
    </row>
    <row r="93" spans="2:17" ht="16.5" thickBot="1" x14ac:dyDescent="0.3">
      <c r="B93" s="1204"/>
      <c r="C93" s="1192"/>
      <c r="D93" s="682"/>
      <c r="E93" s="1199"/>
      <c r="F93" s="1201"/>
      <c r="G93" s="1201"/>
      <c r="H93" s="1199"/>
      <c r="I93" s="1204"/>
      <c r="J93" s="1204"/>
      <c r="K93" s="1204"/>
      <c r="L93" s="1204"/>
      <c r="M93" s="672" t="s">
        <v>124</v>
      </c>
      <c r="N93" s="550"/>
      <c r="O93" s="544">
        <v>1068.17</v>
      </c>
      <c r="P93" s="675">
        <v>1069.7</v>
      </c>
      <c r="Q93" s="675">
        <v>1069.7</v>
      </c>
    </row>
    <row r="94" spans="2:17" ht="16.5" thickBot="1" x14ac:dyDescent="0.3">
      <c r="B94" s="1241"/>
      <c r="C94" s="1216"/>
      <c r="D94" s="674"/>
      <c r="E94" s="1208"/>
      <c r="F94" s="1202"/>
      <c r="G94" s="1201"/>
      <c r="H94" s="1208"/>
      <c r="I94" s="1205"/>
      <c r="J94" s="1205"/>
      <c r="K94" s="1205"/>
      <c r="L94" s="1205"/>
      <c r="M94" s="547" t="s">
        <v>745</v>
      </c>
      <c r="N94" s="549"/>
      <c r="O94" s="551">
        <v>0</v>
      </c>
      <c r="P94" s="552">
        <v>0</v>
      </c>
      <c r="Q94" s="552">
        <v>0</v>
      </c>
    </row>
    <row r="95" spans="2:17" ht="16.5" thickBot="1" x14ac:dyDescent="0.3">
      <c r="B95" s="1206" t="s">
        <v>63</v>
      </c>
      <c r="C95" s="1215">
        <v>69111</v>
      </c>
      <c r="D95" s="1229" t="s">
        <v>285</v>
      </c>
      <c r="E95" s="1207" t="s">
        <v>200</v>
      </c>
      <c r="F95" s="1200" t="s">
        <v>287</v>
      </c>
      <c r="G95" s="1200" t="s">
        <v>232</v>
      </c>
      <c r="H95" s="1207" t="s">
        <v>393</v>
      </c>
      <c r="I95" s="1206" t="s">
        <v>1046</v>
      </c>
      <c r="J95" s="1206" t="s">
        <v>528</v>
      </c>
      <c r="K95" s="1206" t="s">
        <v>1046</v>
      </c>
      <c r="L95" s="1206" t="s">
        <v>1046</v>
      </c>
      <c r="M95" s="542" t="s">
        <v>122</v>
      </c>
      <c r="N95" s="543" t="s">
        <v>687</v>
      </c>
      <c r="O95" s="544">
        <f>O96+O97</f>
        <v>31356.78</v>
      </c>
      <c r="P95" s="544">
        <f>P96+P97</f>
        <v>31356.78</v>
      </c>
      <c r="Q95" s="552">
        <f>Q96+Q97</f>
        <v>31356.78</v>
      </c>
    </row>
    <row r="96" spans="2:17" ht="16.5" thickBot="1" x14ac:dyDescent="0.3">
      <c r="B96" s="1204"/>
      <c r="C96" s="1192"/>
      <c r="D96" s="1245"/>
      <c r="E96" s="1199"/>
      <c r="F96" s="1201"/>
      <c r="G96" s="1201"/>
      <c r="H96" s="1199"/>
      <c r="I96" s="1204"/>
      <c r="J96" s="1204"/>
      <c r="K96" s="1204"/>
      <c r="L96" s="1204"/>
      <c r="M96" s="636" t="s">
        <v>123</v>
      </c>
      <c r="N96" s="549"/>
      <c r="O96" s="551">
        <v>0</v>
      </c>
      <c r="P96" s="552">
        <v>0</v>
      </c>
      <c r="Q96" s="552">
        <v>0</v>
      </c>
    </row>
    <row r="97" spans="2:28" ht="16.5" thickBot="1" x14ac:dyDescent="0.3">
      <c r="B97" s="1204"/>
      <c r="C97" s="1192"/>
      <c r="D97" s="682"/>
      <c r="E97" s="1199"/>
      <c r="F97" s="1201"/>
      <c r="G97" s="1201"/>
      <c r="H97" s="1199"/>
      <c r="I97" s="1204"/>
      <c r="J97" s="1204"/>
      <c r="K97" s="1204"/>
      <c r="L97" s="1204"/>
      <c r="M97" s="672" t="s">
        <v>124</v>
      </c>
      <c r="N97" s="550"/>
      <c r="O97" s="544">
        <v>31356.78</v>
      </c>
      <c r="P97" s="675">
        <v>31356.78</v>
      </c>
      <c r="Q97" s="675">
        <v>31356.78</v>
      </c>
    </row>
    <row r="98" spans="2:28" ht="16.5" thickBot="1" x14ac:dyDescent="0.3">
      <c r="B98" s="1241"/>
      <c r="C98" s="1216"/>
      <c r="D98" s="674"/>
      <c r="E98" s="1208"/>
      <c r="F98" s="1202"/>
      <c r="G98" s="1202"/>
      <c r="H98" s="1208"/>
      <c r="I98" s="1205"/>
      <c r="J98" s="1205"/>
      <c r="K98" s="1205"/>
      <c r="L98" s="1205"/>
      <c r="M98" s="547" t="s">
        <v>745</v>
      </c>
      <c r="N98" s="549"/>
      <c r="O98" s="551">
        <v>0</v>
      </c>
      <c r="P98" s="552">
        <v>0</v>
      </c>
      <c r="Q98" s="552">
        <v>0</v>
      </c>
    </row>
    <row r="99" spans="2:28" ht="16.5" thickBot="1" x14ac:dyDescent="0.3">
      <c r="B99" s="1206" t="s">
        <v>63</v>
      </c>
      <c r="C99" s="1215">
        <v>69111</v>
      </c>
      <c r="D99" s="1229" t="s">
        <v>285</v>
      </c>
      <c r="E99" s="1207" t="s">
        <v>460</v>
      </c>
      <c r="F99" s="1200" t="s">
        <v>287</v>
      </c>
      <c r="G99" s="1201" t="s">
        <v>232</v>
      </c>
      <c r="H99" s="1207" t="s">
        <v>393</v>
      </c>
      <c r="I99" s="1206" t="s">
        <v>545</v>
      </c>
      <c r="J99" s="1206" t="s">
        <v>528</v>
      </c>
      <c r="K99" s="1206" t="s">
        <v>545</v>
      </c>
      <c r="L99" s="1206" t="s">
        <v>545</v>
      </c>
      <c r="M99" s="542" t="s">
        <v>122</v>
      </c>
      <c r="N99" s="543" t="s">
        <v>687</v>
      </c>
      <c r="O99" s="544">
        <f>O100+O101</f>
        <v>412.5</v>
      </c>
      <c r="P99" s="544">
        <f>P100+P101</f>
        <v>412.5</v>
      </c>
      <c r="Q99" s="552">
        <f>Q100+Q101</f>
        <v>412.5</v>
      </c>
    </row>
    <row r="100" spans="2:28" ht="16.5" thickBot="1" x14ac:dyDescent="0.3">
      <c r="B100" s="1204"/>
      <c r="C100" s="1192"/>
      <c r="D100" s="1245"/>
      <c r="E100" s="1199"/>
      <c r="F100" s="1201"/>
      <c r="G100" s="1201"/>
      <c r="H100" s="1199"/>
      <c r="I100" s="1204"/>
      <c r="J100" s="1204"/>
      <c r="K100" s="1204"/>
      <c r="L100" s="1204"/>
      <c r="M100" s="636" t="s">
        <v>123</v>
      </c>
      <c r="N100" s="549"/>
      <c r="O100" s="551">
        <v>0</v>
      </c>
      <c r="P100" s="552">
        <v>0</v>
      </c>
      <c r="Q100" s="552">
        <v>0</v>
      </c>
    </row>
    <row r="101" spans="2:28" ht="16.5" thickBot="1" x14ac:dyDescent="0.3">
      <c r="B101" s="1204"/>
      <c r="C101" s="1192"/>
      <c r="D101" s="682"/>
      <c r="E101" s="1199"/>
      <c r="F101" s="1201"/>
      <c r="G101" s="1201"/>
      <c r="H101" s="1199"/>
      <c r="I101" s="1204"/>
      <c r="J101" s="1204"/>
      <c r="K101" s="1204"/>
      <c r="L101" s="1204"/>
      <c r="M101" s="672" t="s">
        <v>124</v>
      </c>
      <c r="N101" s="550"/>
      <c r="O101" s="544">
        <v>412.5</v>
      </c>
      <c r="P101" s="544">
        <v>412.5</v>
      </c>
      <c r="Q101" s="675">
        <v>412.5</v>
      </c>
    </row>
    <row r="102" spans="2:28" ht="16.5" thickBot="1" x14ac:dyDescent="0.3">
      <c r="B102" s="1241"/>
      <c r="C102" s="1216"/>
      <c r="D102" s="674"/>
      <c r="E102" s="1208"/>
      <c r="F102" s="1202"/>
      <c r="G102" s="1201"/>
      <c r="H102" s="1208"/>
      <c r="I102" s="1205"/>
      <c r="J102" s="1205"/>
      <c r="K102" s="1205"/>
      <c r="L102" s="1205"/>
      <c r="M102" s="547" t="s">
        <v>745</v>
      </c>
      <c r="N102" s="549"/>
      <c r="O102" s="551">
        <v>0</v>
      </c>
      <c r="P102" s="552">
        <v>0</v>
      </c>
      <c r="Q102" s="552">
        <v>0</v>
      </c>
    </row>
    <row r="103" spans="2:28" ht="16.5" thickBot="1" x14ac:dyDescent="0.3">
      <c r="B103" s="1206" t="s">
        <v>63</v>
      </c>
      <c r="C103" s="1215">
        <v>69111</v>
      </c>
      <c r="D103" s="1229" t="s">
        <v>923</v>
      </c>
      <c r="E103" s="1207" t="s">
        <v>452</v>
      </c>
      <c r="F103" s="1200" t="s">
        <v>287</v>
      </c>
      <c r="G103" s="1200" t="s">
        <v>232</v>
      </c>
      <c r="H103" s="1207" t="s">
        <v>393</v>
      </c>
      <c r="I103" s="1206" t="s">
        <v>263</v>
      </c>
      <c r="J103" s="1206" t="s">
        <v>528</v>
      </c>
      <c r="K103" s="1206" t="s">
        <v>263</v>
      </c>
      <c r="L103" s="1206" t="s">
        <v>263</v>
      </c>
      <c r="M103" s="542" t="s">
        <v>122</v>
      </c>
      <c r="N103" s="543" t="s">
        <v>959</v>
      </c>
      <c r="O103" s="544">
        <f>O104+O105</f>
        <v>1318.16</v>
      </c>
      <c r="P103" s="544">
        <f>P104+P105</f>
        <v>1318.18</v>
      </c>
      <c r="Q103" s="552">
        <f>Q104+Q105</f>
        <v>1318.18</v>
      </c>
    </row>
    <row r="104" spans="2:28" ht="16.5" thickBot="1" x14ac:dyDescent="0.3">
      <c r="B104" s="1204"/>
      <c r="C104" s="1192"/>
      <c r="D104" s="1245"/>
      <c r="E104" s="1199"/>
      <c r="F104" s="1201"/>
      <c r="G104" s="1201"/>
      <c r="H104" s="1199"/>
      <c r="I104" s="1204"/>
      <c r="J104" s="1204"/>
      <c r="K104" s="1204"/>
      <c r="L104" s="1204"/>
      <c r="M104" s="636" t="s">
        <v>123</v>
      </c>
      <c r="N104" s="549"/>
      <c r="O104" s="551">
        <v>0</v>
      </c>
      <c r="P104" s="552">
        <v>0</v>
      </c>
      <c r="Q104" s="552">
        <v>0</v>
      </c>
    </row>
    <row r="105" spans="2:28" ht="16.5" thickBot="1" x14ac:dyDescent="0.3">
      <c r="B105" s="1204"/>
      <c r="C105" s="1192"/>
      <c r="D105" s="682"/>
      <c r="E105" s="1199"/>
      <c r="F105" s="1201"/>
      <c r="G105" s="1201"/>
      <c r="H105" s="1199"/>
      <c r="I105" s="1204"/>
      <c r="J105" s="1204"/>
      <c r="K105" s="1204"/>
      <c r="L105" s="1204"/>
      <c r="M105" s="672" t="s">
        <v>124</v>
      </c>
      <c r="N105" s="550"/>
      <c r="O105" s="544">
        <v>1318.16</v>
      </c>
      <c r="P105" s="675">
        <v>1318.18</v>
      </c>
      <c r="Q105" s="675">
        <v>1318.18</v>
      </c>
    </row>
    <row r="106" spans="2:28" ht="16.5" thickBot="1" x14ac:dyDescent="0.3">
      <c r="B106" s="1241"/>
      <c r="C106" s="1216"/>
      <c r="D106" s="674"/>
      <c r="E106" s="1208"/>
      <c r="F106" s="1202"/>
      <c r="G106" s="1202"/>
      <c r="H106" s="1208"/>
      <c r="I106" s="1205"/>
      <c r="J106" s="1205"/>
      <c r="K106" s="1205"/>
      <c r="L106" s="1205"/>
      <c r="M106" s="547" t="s">
        <v>745</v>
      </c>
      <c r="N106" s="549"/>
      <c r="O106" s="551">
        <v>0</v>
      </c>
      <c r="P106" s="552">
        <v>0</v>
      </c>
      <c r="Q106" s="552">
        <v>0</v>
      </c>
    </row>
    <row r="107" spans="2:28" ht="16.5" thickBot="1" x14ac:dyDescent="0.3">
      <c r="B107" s="1206" t="s">
        <v>63</v>
      </c>
      <c r="C107" s="1215">
        <v>69111</v>
      </c>
      <c r="D107" s="1229" t="s">
        <v>960</v>
      </c>
      <c r="E107" s="1207" t="s">
        <v>635</v>
      </c>
      <c r="F107" s="1200" t="s">
        <v>287</v>
      </c>
      <c r="G107" s="1201" t="s">
        <v>232</v>
      </c>
      <c r="H107" s="1207" t="s">
        <v>116</v>
      </c>
      <c r="I107" s="1206" t="s">
        <v>116</v>
      </c>
      <c r="J107" s="1206" t="s">
        <v>528</v>
      </c>
      <c r="K107" s="1206" t="s">
        <v>116</v>
      </c>
      <c r="L107" s="1206" t="s">
        <v>116</v>
      </c>
      <c r="M107" s="542" t="s">
        <v>122</v>
      </c>
      <c r="N107" s="543" t="s">
        <v>961</v>
      </c>
      <c r="O107" s="544">
        <f>O108+O109</f>
        <v>276.38</v>
      </c>
      <c r="P107" s="544">
        <f>P108+P109</f>
        <v>1542.86</v>
      </c>
      <c r="Q107" s="552">
        <f>Q108+Q109</f>
        <v>2729.634</v>
      </c>
    </row>
    <row r="108" spans="2:28" ht="16.5" thickBot="1" x14ac:dyDescent="0.3">
      <c r="B108" s="1204"/>
      <c r="C108" s="1192"/>
      <c r="D108" s="1245"/>
      <c r="E108" s="1199"/>
      <c r="F108" s="1201"/>
      <c r="G108" s="1201"/>
      <c r="H108" s="1199"/>
      <c r="I108" s="1204"/>
      <c r="J108" s="1204"/>
      <c r="K108" s="1204"/>
      <c r="L108" s="1204"/>
      <c r="M108" s="636" t="s">
        <v>123</v>
      </c>
      <c r="N108" s="549"/>
      <c r="O108" s="551">
        <v>0</v>
      </c>
      <c r="P108" s="552">
        <v>0</v>
      </c>
      <c r="Q108" s="552">
        <v>0</v>
      </c>
    </row>
    <row r="109" spans="2:28" ht="16.5" thickBot="1" x14ac:dyDescent="0.3">
      <c r="B109" s="1204"/>
      <c r="C109" s="1192"/>
      <c r="D109" s="682"/>
      <c r="E109" s="1199"/>
      <c r="F109" s="1201"/>
      <c r="G109" s="1201"/>
      <c r="H109" s="1199"/>
      <c r="I109" s="1204"/>
      <c r="J109" s="1204"/>
      <c r="K109" s="1204"/>
      <c r="L109" s="1204"/>
      <c r="M109" s="672" t="s">
        <v>124</v>
      </c>
      <c r="N109" s="550"/>
      <c r="O109" s="544">
        <v>276.38</v>
      </c>
      <c r="P109" s="675">
        <v>1542.86</v>
      </c>
      <c r="Q109" s="675">
        <v>2729.634</v>
      </c>
    </row>
    <row r="110" spans="2:28" ht="16.5" thickBot="1" x14ac:dyDescent="0.3">
      <c r="B110" s="1241"/>
      <c r="C110" s="1216"/>
      <c r="D110" s="674"/>
      <c r="E110" s="1208"/>
      <c r="F110" s="1202"/>
      <c r="G110" s="1201"/>
      <c r="H110" s="1208"/>
      <c r="I110" s="1205"/>
      <c r="J110" s="1205"/>
      <c r="K110" s="1205"/>
      <c r="L110" s="1205"/>
      <c r="M110" s="547" t="s">
        <v>745</v>
      </c>
      <c r="N110" s="549"/>
      <c r="O110" s="551">
        <v>0</v>
      </c>
      <c r="P110" s="552">
        <v>0</v>
      </c>
      <c r="Q110" s="552">
        <v>0</v>
      </c>
    </row>
    <row r="111" spans="2:28" ht="16.5" thickBot="1" x14ac:dyDescent="0.3">
      <c r="B111" s="1206" t="s">
        <v>63</v>
      </c>
      <c r="C111" s="1215">
        <v>69211</v>
      </c>
      <c r="D111" s="654" t="s">
        <v>116</v>
      </c>
      <c r="E111" s="1207" t="s">
        <v>503</v>
      </c>
      <c r="F111" s="1207" t="s">
        <v>589</v>
      </c>
      <c r="G111" s="1207" t="s">
        <v>187</v>
      </c>
      <c r="H111" s="1232" t="str">
        <f>H115</f>
        <v>Чел.</v>
      </c>
      <c r="I111" s="1206" t="str">
        <f>I115</f>
        <v>55</v>
      </c>
      <c r="J111" s="1206" t="s">
        <v>528</v>
      </c>
      <c r="K111" s="1206" t="str">
        <f>K115</f>
        <v>55</v>
      </c>
      <c r="L111" s="1206" t="str">
        <f>L115</f>
        <v>55</v>
      </c>
      <c r="M111" s="542" t="s">
        <v>122</v>
      </c>
      <c r="N111" s="543" t="str">
        <f>N115</f>
        <v>9415,882</v>
      </c>
      <c r="O111" s="544">
        <f>O112+O113</f>
        <v>12389.01</v>
      </c>
      <c r="P111" s="675">
        <f>P112+P113</f>
        <v>12787.31</v>
      </c>
      <c r="Q111" s="675">
        <f>Q112+Q113</f>
        <v>13209.983</v>
      </c>
      <c r="R111" s="785">
        <f>12389012.09/1000</f>
        <v>12389.01209</v>
      </c>
      <c r="S111" s="785">
        <f>12787314.78/1000</f>
        <v>12787.314779999999</v>
      </c>
      <c r="T111" s="785">
        <f>13209984.78/1000</f>
        <v>13209.984779999999</v>
      </c>
      <c r="V111" s="51">
        <v>12389.01</v>
      </c>
      <c r="W111" s="51">
        <v>12787.31</v>
      </c>
      <c r="X111" s="51">
        <v>13209.98</v>
      </c>
      <c r="Z111" s="776">
        <f>V111-O111</f>
        <v>0</v>
      </c>
      <c r="AA111" s="776">
        <f>W111-P111</f>
        <v>0</v>
      </c>
      <c r="AB111" s="776">
        <f>X111-Q111</f>
        <v>-3.0000000006111804E-3</v>
      </c>
    </row>
    <row r="112" spans="2:28" ht="16.5" thickBot="1" x14ac:dyDescent="0.3">
      <c r="B112" s="1204"/>
      <c r="C112" s="1192"/>
      <c r="D112" s="673"/>
      <c r="E112" s="1199"/>
      <c r="F112" s="1199"/>
      <c r="G112" s="1199"/>
      <c r="H112" s="1209"/>
      <c r="I112" s="1199"/>
      <c r="J112" s="1204"/>
      <c r="K112" s="1199"/>
      <c r="L112" s="1199"/>
      <c r="M112" s="636" t="s">
        <v>123</v>
      </c>
      <c r="N112" s="549"/>
      <c r="O112" s="551">
        <f>O116</f>
        <v>0</v>
      </c>
      <c r="P112" s="551">
        <f>P116</f>
        <v>0</v>
      </c>
      <c r="Q112" s="552">
        <f>Q116</f>
        <v>0</v>
      </c>
      <c r="R112" s="745">
        <f>R111-O111</f>
        <v>2.0899999999528518E-3</v>
      </c>
      <c r="S112" s="745">
        <f>S111-P111</f>
        <v>4.7799999993003439E-3</v>
      </c>
      <c r="T112" s="745">
        <f>T111-Q111</f>
        <v>1.7799999986891635E-3</v>
      </c>
    </row>
    <row r="113" spans="2:28" ht="16.5" thickBot="1" x14ac:dyDescent="0.3">
      <c r="B113" s="1204"/>
      <c r="C113" s="1192"/>
      <c r="D113" s="673"/>
      <c r="E113" s="1199"/>
      <c r="F113" s="1199"/>
      <c r="G113" s="1199"/>
      <c r="H113" s="1209"/>
      <c r="I113" s="1199"/>
      <c r="J113" s="1204"/>
      <c r="K113" s="1199"/>
      <c r="L113" s="1199"/>
      <c r="M113" s="672" t="s">
        <v>124</v>
      </c>
      <c r="N113" s="550"/>
      <c r="O113" s="561">
        <f>O117+O121</f>
        <v>12389.01</v>
      </c>
      <c r="P113" s="561">
        <f>P117+P121</f>
        <v>12787.31</v>
      </c>
      <c r="Q113" s="552">
        <f>Q117+Q121</f>
        <v>13209.983</v>
      </c>
      <c r="R113" s="745"/>
    </row>
    <row r="114" spans="2:28" ht="16.5" thickBot="1" x14ac:dyDescent="0.3">
      <c r="B114" s="1205"/>
      <c r="C114" s="1216"/>
      <c r="D114" s="674"/>
      <c r="E114" s="1208"/>
      <c r="F114" s="1208"/>
      <c r="G114" s="1208"/>
      <c r="H114" s="1210"/>
      <c r="I114" s="1208"/>
      <c r="J114" s="1205"/>
      <c r="K114" s="1208"/>
      <c r="L114" s="1208"/>
      <c r="M114" s="547" t="s">
        <v>745</v>
      </c>
      <c r="N114" s="549"/>
      <c r="O114" s="551">
        <v>0</v>
      </c>
      <c r="P114" s="552">
        <v>0</v>
      </c>
      <c r="Q114" s="552">
        <v>0</v>
      </c>
      <c r="R114" s="745"/>
    </row>
    <row r="115" spans="2:28" ht="16.5" thickBot="1" x14ac:dyDescent="0.3">
      <c r="B115" s="1206" t="s">
        <v>63</v>
      </c>
      <c r="C115" s="1215">
        <v>69211</v>
      </c>
      <c r="D115" s="1229" t="s">
        <v>285</v>
      </c>
      <c r="E115" s="1207" t="s">
        <v>503</v>
      </c>
      <c r="F115" s="1200" t="s">
        <v>286</v>
      </c>
      <c r="G115" s="1207" t="s">
        <v>187</v>
      </c>
      <c r="H115" s="1232" t="s">
        <v>241</v>
      </c>
      <c r="I115" s="1206" t="s">
        <v>574</v>
      </c>
      <c r="J115" s="1206" t="s">
        <v>528</v>
      </c>
      <c r="K115" s="1206" t="s">
        <v>574</v>
      </c>
      <c r="L115" s="1206" t="s">
        <v>574</v>
      </c>
      <c r="M115" s="542" t="s">
        <v>122</v>
      </c>
      <c r="N115" s="543" t="s">
        <v>687</v>
      </c>
      <c r="O115" s="544">
        <f>O116+O117</f>
        <v>12290.79</v>
      </c>
      <c r="P115" s="544">
        <f>P116+P117</f>
        <v>12290.34</v>
      </c>
      <c r="Q115" s="552">
        <f>Q116+Q117</f>
        <v>12290.34</v>
      </c>
    </row>
    <row r="116" spans="2:28" ht="16.5" thickBot="1" x14ac:dyDescent="0.3">
      <c r="B116" s="1204"/>
      <c r="C116" s="1192"/>
      <c r="D116" s="1245"/>
      <c r="E116" s="1199"/>
      <c r="F116" s="1201"/>
      <c r="G116" s="1199"/>
      <c r="H116" s="1209"/>
      <c r="I116" s="1204"/>
      <c r="J116" s="1204"/>
      <c r="K116" s="1204"/>
      <c r="L116" s="1204"/>
      <c r="M116" s="636" t="s">
        <v>123</v>
      </c>
      <c r="N116" s="549"/>
      <c r="O116" s="551">
        <v>0</v>
      </c>
      <c r="P116" s="552">
        <v>0</v>
      </c>
      <c r="Q116" s="552">
        <v>0</v>
      </c>
    </row>
    <row r="117" spans="2:28" ht="16.5" thickBot="1" x14ac:dyDescent="0.3">
      <c r="B117" s="1204"/>
      <c r="C117" s="1192"/>
      <c r="D117" s="682"/>
      <c r="E117" s="1199"/>
      <c r="F117" s="1201"/>
      <c r="G117" s="1199"/>
      <c r="H117" s="1209"/>
      <c r="I117" s="1204"/>
      <c r="J117" s="1204"/>
      <c r="K117" s="1204"/>
      <c r="L117" s="1204"/>
      <c r="M117" s="672" t="s">
        <v>124</v>
      </c>
      <c r="N117" s="550"/>
      <c r="O117" s="551">
        <v>12290.79</v>
      </c>
      <c r="P117" s="551">
        <v>12290.34</v>
      </c>
      <c r="Q117" s="552">
        <v>12290.34</v>
      </c>
    </row>
    <row r="118" spans="2:28" ht="16.5" thickBot="1" x14ac:dyDescent="0.3">
      <c r="B118" s="1241"/>
      <c r="C118" s="1216"/>
      <c r="D118" s="674"/>
      <c r="E118" s="1208"/>
      <c r="F118" s="1202"/>
      <c r="G118" s="1208"/>
      <c r="H118" s="1210"/>
      <c r="I118" s="1205"/>
      <c r="J118" s="1205"/>
      <c r="K118" s="1205"/>
      <c r="L118" s="1205"/>
      <c r="M118" s="547" t="s">
        <v>745</v>
      </c>
      <c r="N118" s="549"/>
      <c r="O118" s="551">
        <v>0</v>
      </c>
      <c r="P118" s="552">
        <v>0</v>
      </c>
      <c r="Q118" s="552">
        <v>0</v>
      </c>
    </row>
    <row r="119" spans="2:28" ht="16.5" thickBot="1" x14ac:dyDescent="0.3">
      <c r="B119" s="1206" t="s">
        <v>63</v>
      </c>
      <c r="C119" s="1215">
        <v>69211</v>
      </c>
      <c r="D119" s="1229" t="s">
        <v>923</v>
      </c>
      <c r="E119" s="1207" t="s">
        <v>635</v>
      </c>
      <c r="F119" s="1200" t="s">
        <v>286</v>
      </c>
      <c r="G119" s="1207" t="s">
        <v>187</v>
      </c>
      <c r="H119" s="1232" t="s">
        <v>241</v>
      </c>
      <c r="I119" s="1206" t="s">
        <v>116</v>
      </c>
      <c r="J119" s="1206" t="s">
        <v>528</v>
      </c>
      <c r="K119" s="1206" t="s">
        <v>116</v>
      </c>
      <c r="L119" s="1206" t="s">
        <v>116</v>
      </c>
      <c r="M119" s="542" t="s">
        <v>122</v>
      </c>
      <c r="N119" s="543" t="s">
        <v>959</v>
      </c>
      <c r="O119" s="544">
        <f>O120+O121</f>
        <v>98.22</v>
      </c>
      <c r="P119" s="544">
        <f>P120+P121</f>
        <v>496.97</v>
      </c>
      <c r="Q119" s="552">
        <f>Q120+Q121</f>
        <v>919.64300000000003</v>
      </c>
    </row>
    <row r="120" spans="2:28" ht="16.5" thickBot="1" x14ac:dyDescent="0.3">
      <c r="B120" s="1204"/>
      <c r="C120" s="1192"/>
      <c r="D120" s="1245"/>
      <c r="E120" s="1199"/>
      <c r="F120" s="1201"/>
      <c r="G120" s="1199"/>
      <c r="H120" s="1209"/>
      <c r="I120" s="1204"/>
      <c r="J120" s="1204"/>
      <c r="K120" s="1204"/>
      <c r="L120" s="1204"/>
      <c r="M120" s="636" t="s">
        <v>123</v>
      </c>
      <c r="N120" s="549"/>
      <c r="O120" s="551">
        <v>0</v>
      </c>
      <c r="P120" s="552">
        <v>0</v>
      </c>
      <c r="Q120" s="552">
        <v>0</v>
      </c>
    </row>
    <row r="121" spans="2:28" ht="16.5" thickBot="1" x14ac:dyDescent="0.3">
      <c r="B121" s="1204"/>
      <c r="C121" s="1192"/>
      <c r="D121" s="682"/>
      <c r="E121" s="1199"/>
      <c r="F121" s="1201"/>
      <c r="G121" s="1199"/>
      <c r="H121" s="1209"/>
      <c r="I121" s="1204"/>
      <c r="J121" s="1204"/>
      <c r="K121" s="1204"/>
      <c r="L121" s="1204"/>
      <c r="M121" s="672" t="s">
        <v>124</v>
      </c>
      <c r="N121" s="550"/>
      <c r="O121" s="551">
        <v>98.22</v>
      </c>
      <c r="P121" s="551">
        <v>496.97</v>
      </c>
      <c r="Q121" s="552">
        <v>919.64300000000003</v>
      </c>
    </row>
    <row r="122" spans="2:28" ht="16.5" thickBot="1" x14ac:dyDescent="0.3">
      <c r="B122" s="1241"/>
      <c r="C122" s="1216"/>
      <c r="D122" s="674"/>
      <c r="E122" s="1208"/>
      <c r="F122" s="1202"/>
      <c r="G122" s="1208"/>
      <c r="H122" s="1210"/>
      <c r="I122" s="1205"/>
      <c r="J122" s="1205"/>
      <c r="K122" s="1205"/>
      <c r="L122" s="1205"/>
      <c r="M122" s="547" t="s">
        <v>745</v>
      </c>
      <c r="N122" s="549"/>
      <c r="O122" s="551">
        <v>0</v>
      </c>
      <c r="P122" s="552">
        <v>0</v>
      </c>
      <c r="Q122" s="552">
        <v>0</v>
      </c>
    </row>
    <row r="123" spans="2:28" ht="16.5" thickBot="1" x14ac:dyDescent="0.3">
      <c r="B123" s="1240" t="s">
        <v>63</v>
      </c>
      <c r="C123" s="1215">
        <v>69121</v>
      </c>
      <c r="D123" s="654" t="s">
        <v>116</v>
      </c>
      <c r="E123" s="1207" t="s">
        <v>116</v>
      </c>
      <c r="F123" s="1207" t="s">
        <v>1049</v>
      </c>
      <c r="G123" s="1207" t="s">
        <v>116</v>
      </c>
      <c r="H123" s="1232" t="s">
        <v>116</v>
      </c>
      <c r="I123" s="1206" t="s">
        <v>116</v>
      </c>
      <c r="J123" s="1206" t="s">
        <v>116</v>
      </c>
      <c r="K123" s="1206" t="s">
        <v>116</v>
      </c>
      <c r="L123" s="1206" t="s">
        <v>116</v>
      </c>
      <c r="M123" s="542" t="s">
        <v>122</v>
      </c>
      <c r="N123" s="567">
        <f>N127+N131</f>
        <v>3508.9989999999998</v>
      </c>
      <c r="O123" s="551">
        <f>O124+O125</f>
        <v>19354.440000000002</v>
      </c>
      <c r="P123" s="552">
        <f>P124+P125</f>
        <v>12524.45</v>
      </c>
      <c r="Q123" s="552">
        <f>Q124+Q125</f>
        <v>1424.45</v>
      </c>
      <c r="R123" s="51">
        <v>19354.439999999999</v>
      </c>
      <c r="S123" s="51">
        <v>12524.45</v>
      </c>
      <c r="T123" s="51">
        <v>1424.45</v>
      </c>
      <c r="V123" s="51">
        <v>19354.439999999999</v>
      </c>
      <c r="W123" s="51">
        <v>12524.45</v>
      </c>
      <c r="X123" s="51">
        <v>1424.45</v>
      </c>
      <c r="Z123" s="776">
        <f>V123-O123</f>
        <v>0</v>
      </c>
      <c r="AA123" s="776">
        <f>W123-P123</f>
        <v>0</v>
      </c>
      <c r="AB123" s="776">
        <f>X123-Q123</f>
        <v>0</v>
      </c>
    </row>
    <row r="124" spans="2:28" ht="16.5" thickBot="1" x14ac:dyDescent="0.3">
      <c r="B124" s="1204"/>
      <c r="C124" s="1192"/>
      <c r="D124" s="673"/>
      <c r="E124" s="1199"/>
      <c r="F124" s="1199"/>
      <c r="G124" s="1199"/>
      <c r="H124" s="1209"/>
      <c r="I124" s="1204"/>
      <c r="J124" s="1204"/>
      <c r="K124" s="1204"/>
      <c r="L124" s="1204"/>
      <c r="M124" s="636" t="s">
        <v>123</v>
      </c>
      <c r="N124" s="550"/>
      <c r="O124" s="681">
        <v>0</v>
      </c>
      <c r="P124" s="676">
        <v>0</v>
      </c>
      <c r="Q124" s="552">
        <v>0</v>
      </c>
      <c r="R124" s="51">
        <f>R123-O123</f>
        <v>0</v>
      </c>
      <c r="S124" s="51">
        <f>S123-P123</f>
        <v>0</v>
      </c>
      <c r="T124" s="51">
        <f>T123-Q123</f>
        <v>0</v>
      </c>
    </row>
    <row r="125" spans="2:28" ht="16.5" thickBot="1" x14ac:dyDescent="0.3">
      <c r="B125" s="1204"/>
      <c r="C125" s="1192"/>
      <c r="D125" s="673"/>
      <c r="E125" s="1199"/>
      <c r="F125" s="1199"/>
      <c r="G125" s="1199"/>
      <c r="H125" s="1209"/>
      <c r="I125" s="1204"/>
      <c r="J125" s="1204"/>
      <c r="K125" s="1204"/>
      <c r="L125" s="1204"/>
      <c r="M125" s="672" t="s">
        <v>124</v>
      </c>
      <c r="N125" s="550"/>
      <c r="O125" s="551">
        <f>O129+O133+O137+O141+O145+O149+O153+O157</f>
        <v>19354.440000000002</v>
      </c>
      <c r="P125" s="551">
        <f>P129+P133+P137+P141+P145+P149+P153+P157</f>
        <v>12524.45</v>
      </c>
      <c r="Q125" s="552">
        <f>Q129+Q133+Q137+Q141+Q145+Q149+Q153+Q157</f>
        <v>1424.45</v>
      </c>
    </row>
    <row r="126" spans="2:28" ht="16.5" thickBot="1" x14ac:dyDescent="0.3">
      <c r="B126" s="1241"/>
      <c r="C126" s="1216"/>
      <c r="D126" s="674"/>
      <c r="E126" s="1208"/>
      <c r="F126" s="1208"/>
      <c r="G126" s="1208"/>
      <c r="H126" s="1210"/>
      <c r="I126" s="1205"/>
      <c r="J126" s="1205"/>
      <c r="K126" s="1205"/>
      <c r="L126" s="1205"/>
      <c r="M126" s="547" t="s">
        <v>745</v>
      </c>
      <c r="N126" s="563"/>
      <c r="O126" s="551">
        <f>O130+O134+O138+O158</f>
        <v>0</v>
      </c>
      <c r="P126" s="552">
        <f>P130+P134+P138+P158</f>
        <v>0</v>
      </c>
      <c r="Q126" s="552">
        <f>Q130+Q134+Q138+Q158</f>
        <v>0</v>
      </c>
    </row>
    <row r="127" spans="2:28" ht="16.5" thickBot="1" x14ac:dyDescent="0.3">
      <c r="B127" s="1240" t="s">
        <v>63</v>
      </c>
      <c r="C127" s="1215">
        <v>69121</v>
      </c>
      <c r="D127" s="673" t="s">
        <v>285</v>
      </c>
      <c r="E127" s="1207" t="s">
        <v>503</v>
      </c>
      <c r="F127" s="1200" t="s">
        <v>936</v>
      </c>
      <c r="G127" s="1200" t="s">
        <v>963</v>
      </c>
      <c r="H127" s="1308" t="s">
        <v>240</v>
      </c>
      <c r="I127" s="1206" t="s">
        <v>565</v>
      </c>
      <c r="J127" s="1206" t="s">
        <v>528</v>
      </c>
      <c r="K127" s="1206" t="s">
        <v>199</v>
      </c>
      <c r="L127" s="1206" t="s">
        <v>199</v>
      </c>
      <c r="M127" s="542" t="s">
        <v>122</v>
      </c>
      <c r="N127" s="550">
        <v>2958.9989999999998</v>
      </c>
      <c r="O127" s="551">
        <f>O128+O129</f>
        <v>10504.44</v>
      </c>
      <c r="P127" s="552">
        <f>P128+P129</f>
        <v>0</v>
      </c>
      <c r="Q127" s="549">
        <f>Q128+Q129</f>
        <v>0</v>
      </c>
    </row>
    <row r="128" spans="2:28" ht="16.5" thickBot="1" x14ac:dyDescent="0.3">
      <c r="B128" s="1204"/>
      <c r="C128" s="1192"/>
      <c r="D128" s="673"/>
      <c r="E128" s="1199"/>
      <c r="F128" s="1201"/>
      <c r="G128" s="1201"/>
      <c r="H128" s="1259"/>
      <c r="I128" s="1204"/>
      <c r="J128" s="1204"/>
      <c r="K128" s="1204"/>
      <c r="L128" s="1204"/>
      <c r="M128" s="636" t="s">
        <v>123</v>
      </c>
      <c r="N128" s="550"/>
      <c r="O128" s="681">
        <v>0</v>
      </c>
      <c r="P128" s="676">
        <v>0</v>
      </c>
      <c r="Q128" s="676" t="s">
        <v>695</v>
      </c>
    </row>
    <row r="129" spans="2:17" ht="16.5" thickBot="1" x14ac:dyDescent="0.3">
      <c r="B129" s="1204"/>
      <c r="C129" s="1192"/>
      <c r="D129" s="673"/>
      <c r="E129" s="1199"/>
      <c r="F129" s="1201"/>
      <c r="G129" s="1201"/>
      <c r="H129" s="1259"/>
      <c r="I129" s="1204"/>
      <c r="J129" s="1204"/>
      <c r="K129" s="1204"/>
      <c r="L129" s="1204"/>
      <c r="M129" s="672" t="s">
        <v>124</v>
      </c>
      <c r="N129" s="550"/>
      <c r="O129" s="681">
        <v>10504.44</v>
      </c>
      <c r="P129" s="676">
        <v>0</v>
      </c>
      <c r="Q129" s="676" t="s">
        <v>695</v>
      </c>
    </row>
    <row r="130" spans="2:17" ht="16.5" thickBot="1" x14ac:dyDescent="0.3">
      <c r="B130" s="1205"/>
      <c r="C130" s="1216"/>
      <c r="D130" s="673"/>
      <c r="E130" s="1208"/>
      <c r="F130" s="1202"/>
      <c r="G130" s="1202"/>
      <c r="H130" s="1260"/>
      <c r="I130" s="1205"/>
      <c r="J130" s="1205"/>
      <c r="K130" s="1205"/>
      <c r="L130" s="1205"/>
      <c r="M130" s="547" t="s">
        <v>745</v>
      </c>
      <c r="N130" s="550"/>
      <c r="O130" s="681">
        <v>0</v>
      </c>
      <c r="P130" s="676">
        <v>0</v>
      </c>
      <c r="Q130" s="676" t="s">
        <v>695</v>
      </c>
    </row>
    <row r="131" spans="2:17" ht="16.5" thickBot="1" x14ac:dyDescent="0.3">
      <c r="B131" s="1206" t="s">
        <v>63</v>
      </c>
      <c r="C131" s="1215">
        <v>69121</v>
      </c>
      <c r="D131" s="704" t="s">
        <v>285</v>
      </c>
      <c r="E131" s="1207" t="s">
        <v>503</v>
      </c>
      <c r="F131" s="1200" t="s">
        <v>962</v>
      </c>
      <c r="G131" s="1234" t="s">
        <v>190</v>
      </c>
      <c r="H131" s="1312" t="s">
        <v>240</v>
      </c>
      <c r="I131" s="1236">
        <v>1</v>
      </c>
      <c r="J131" s="1206" t="s">
        <v>528</v>
      </c>
      <c r="K131" s="1206" t="s">
        <v>199</v>
      </c>
      <c r="L131" s="1206" t="s">
        <v>199</v>
      </c>
      <c r="M131" s="542" t="s">
        <v>122</v>
      </c>
      <c r="N131" s="568" t="s">
        <v>665</v>
      </c>
      <c r="O131" s="551">
        <f>O132+O133</f>
        <v>4200</v>
      </c>
      <c r="P131" s="552">
        <f>P132+P133</f>
        <v>0</v>
      </c>
      <c r="Q131" s="549">
        <f>Q132+Q133</f>
        <v>0</v>
      </c>
    </row>
    <row r="132" spans="2:17" ht="16.5" thickBot="1" x14ac:dyDescent="0.3">
      <c r="B132" s="1204"/>
      <c r="C132" s="1192"/>
      <c r="D132" s="673"/>
      <c r="E132" s="1199"/>
      <c r="F132" s="1201"/>
      <c r="G132" s="1201"/>
      <c r="H132" s="1209"/>
      <c r="I132" s="1199"/>
      <c r="J132" s="1204"/>
      <c r="K132" s="1204"/>
      <c r="L132" s="1204"/>
      <c r="M132" s="636" t="s">
        <v>123</v>
      </c>
      <c r="N132" s="569"/>
      <c r="O132" s="681">
        <v>0</v>
      </c>
      <c r="P132" s="676">
        <v>0</v>
      </c>
      <c r="Q132" s="552" t="s">
        <v>695</v>
      </c>
    </row>
    <row r="133" spans="2:17" ht="16.5" thickBot="1" x14ac:dyDescent="0.3">
      <c r="B133" s="1204"/>
      <c r="C133" s="1192"/>
      <c r="D133" s="673"/>
      <c r="E133" s="1199"/>
      <c r="F133" s="1201"/>
      <c r="G133" s="1201"/>
      <c r="H133" s="1209"/>
      <c r="I133" s="1199"/>
      <c r="J133" s="1204"/>
      <c r="K133" s="1204"/>
      <c r="L133" s="1204"/>
      <c r="M133" s="672" t="s">
        <v>124</v>
      </c>
      <c r="N133" s="569"/>
      <c r="O133" s="681">
        <v>4200</v>
      </c>
      <c r="P133" s="676">
        <v>0</v>
      </c>
      <c r="Q133" s="552" t="s">
        <v>695</v>
      </c>
    </row>
    <row r="134" spans="2:17" ht="16.5" thickBot="1" x14ac:dyDescent="0.3">
      <c r="B134" s="1204"/>
      <c r="C134" s="1192"/>
      <c r="D134" s="673"/>
      <c r="E134" s="1199"/>
      <c r="F134" s="1201"/>
      <c r="G134" s="1201"/>
      <c r="H134" s="1209"/>
      <c r="I134" s="1199"/>
      <c r="J134" s="1204"/>
      <c r="K134" s="1204"/>
      <c r="L134" s="1204"/>
      <c r="M134" s="671" t="s">
        <v>745</v>
      </c>
      <c r="N134" s="570"/>
      <c r="O134" s="690">
        <v>0</v>
      </c>
      <c r="P134" s="562">
        <v>0</v>
      </c>
      <c r="Q134" s="675" t="s">
        <v>695</v>
      </c>
    </row>
    <row r="135" spans="2:17" ht="16.5" thickBot="1" x14ac:dyDescent="0.3">
      <c r="B135" s="1206" t="s">
        <v>63</v>
      </c>
      <c r="C135" s="1215">
        <v>69121</v>
      </c>
      <c r="D135" s="704" t="s">
        <v>285</v>
      </c>
      <c r="E135" s="1207" t="s">
        <v>892</v>
      </c>
      <c r="F135" s="1200" t="s">
        <v>964</v>
      </c>
      <c r="G135" s="1200" t="s">
        <v>190</v>
      </c>
      <c r="H135" s="1232" t="s">
        <v>240</v>
      </c>
      <c r="I135" s="1207">
        <v>1</v>
      </c>
      <c r="J135" s="1206" t="s">
        <v>528</v>
      </c>
      <c r="K135" s="1206" t="s">
        <v>199</v>
      </c>
      <c r="L135" s="1206" t="s">
        <v>199</v>
      </c>
      <c r="M135" s="542" t="s">
        <v>122</v>
      </c>
      <c r="N135" s="568"/>
      <c r="O135" s="551">
        <f>O136+O137</f>
        <v>3650</v>
      </c>
      <c r="P135" s="552">
        <f>P136+P137</f>
        <v>0</v>
      </c>
      <c r="Q135" s="549">
        <f>Q136+Q137</f>
        <v>0</v>
      </c>
    </row>
    <row r="136" spans="2:17" ht="16.5" thickBot="1" x14ac:dyDescent="0.3">
      <c r="B136" s="1204"/>
      <c r="C136" s="1192"/>
      <c r="D136" s="673"/>
      <c r="E136" s="1199"/>
      <c r="F136" s="1201"/>
      <c r="G136" s="1201"/>
      <c r="H136" s="1209"/>
      <c r="I136" s="1199"/>
      <c r="J136" s="1204"/>
      <c r="K136" s="1204"/>
      <c r="L136" s="1204"/>
      <c r="M136" s="636" t="s">
        <v>123</v>
      </c>
      <c r="N136" s="569"/>
      <c r="O136" s="681">
        <v>0</v>
      </c>
      <c r="P136" s="676">
        <v>0</v>
      </c>
      <c r="Q136" s="552" t="s">
        <v>695</v>
      </c>
    </row>
    <row r="137" spans="2:17" ht="16.5" thickBot="1" x14ac:dyDescent="0.3">
      <c r="B137" s="1204"/>
      <c r="C137" s="1192"/>
      <c r="D137" s="673"/>
      <c r="E137" s="1199"/>
      <c r="F137" s="1201"/>
      <c r="G137" s="1201"/>
      <c r="H137" s="1209"/>
      <c r="I137" s="1199"/>
      <c r="J137" s="1204"/>
      <c r="K137" s="1204"/>
      <c r="L137" s="1204"/>
      <c r="M137" s="672" t="s">
        <v>124</v>
      </c>
      <c r="N137" s="569"/>
      <c r="O137" s="681">
        <v>3650</v>
      </c>
      <c r="P137" s="676">
        <v>0</v>
      </c>
      <c r="Q137" s="552" t="s">
        <v>695</v>
      </c>
    </row>
    <row r="138" spans="2:17" ht="16.5" thickBot="1" x14ac:dyDescent="0.3">
      <c r="B138" s="1205"/>
      <c r="C138" s="1216"/>
      <c r="D138" s="674"/>
      <c r="E138" s="1208"/>
      <c r="F138" s="1202"/>
      <c r="G138" s="1202"/>
      <c r="H138" s="1210"/>
      <c r="I138" s="1208"/>
      <c r="J138" s="1205"/>
      <c r="K138" s="1205"/>
      <c r="L138" s="1205"/>
      <c r="M138" s="547" t="s">
        <v>745</v>
      </c>
      <c r="N138" s="569"/>
      <c r="O138" s="681">
        <v>0</v>
      </c>
      <c r="P138" s="676">
        <v>0</v>
      </c>
      <c r="Q138" s="552" t="s">
        <v>695</v>
      </c>
    </row>
    <row r="139" spans="2:17" ht="16.5" thickBot="1" x14ac:dyDescent="0.3">
      <c r="B139" s="1206" t="s">
        <v>63</v>
      </c>
      <c r="C139" s="1215">
        <v>69121</v>
      </c>
      <c r="D139" s="704" t="s">
        <v>285</v>
      </c>
      <c r="E139" s="1207" t="s">
        <v>503</v>
      </c>
      <c r="F139" s="1200" t="s">
        <v>924</v>
      </c>
      <c r="G139" s="1200" t="s">
        <v>967</v>
      </c>
      <c r="H139" s="1232" t="s">
        <v>240</v>
      </c>
      <c r="I139" s="1206" t="s">
        <v>565</v>
      </c>
      <c r="J139" s="1206" t="s">
        <v>528</v>
      </c>
      <c r="K139" s="1206" t="s">
        <v>199</v>
      </c>
      <c r="L139" s="1206" t="s">
        <v>199</v>
      </c>
      <c r="M139" s="542" t="s">
        <v>122</v>
      </c>
      <c r="N139" s="568"/>
      <c r="O139" s="551">
        <f>O140+O141</f>
        <v>1000</v>
      </c>
      <c r="P139" s="552">
        <f>P140+P141</f>
        <v>0</v>
      </c>
      <c r="Q139" s="549">
        <f>Q140+Q141</f>
        <v>0</v>
      </c>
    </row>
    <row r="140" spans="2:17" ht="16.5" thickBot="1" x14ac:dyDescent="0.3">
      <c r="B140" s="1204"/>
      <c r="C140" s="1192"/>
      <c r="D140" s="673"/>
      <c r="E140" s="1199"/>
      <c r="F140" s="1201"/>
      <c r="G140" s="1201"/>
      <c r="H140" s="1209"/>
      <c r="I140" s="1204"/>
      <c r="J140" s="1204"/>
      <c r="K140" s="1204"/>
      <c r="L140" s="1204"/>
      <c r="M140" s="636" t="s">
        <v>123</v>
      </c>
      <c r="N140" s="569"/>
      <c r="O140" s="681">
        <v>0</v>
      </c>
      <c r="P140" s="676">
        <v>0</v>
      </c>
      <c r="Q140" s="552" t="s">
        <v>695</v>
      </c>
    </row>
    <row r="141" spans="2:17" ht="16.5" thickBot="1" x14ac:dyDescent="0.3">
      <c r="B141" s="1204"/>
      <c r="C141" s="1192"/>
      <c r="D141" s="673"/>
      <c r="E141" s="1199"/>
      <c r="F141" s="1201"/>
      <c r="G141" s="1201"/>
      <c r="H141" s="1209"/>
      <c r="I141" s="1204"/>
      <c r="J141" s="1204"/>
      <c r="K141" s="1204"/>
      <c r="L141" s="1204"/>
      <c r="M141" s="672" t="s">
        <v>124</v>
      </c>
      <c r="N141" s="569"/>
      <c r="O141" s="681">
        <v>1000</v>
      </c>
      <c r="P141" s="676">
        <v>0</v>
      </c>
      <c r="Q141" s="552" t="s">
        <v>695</v>
      </c>
    </row>
    <row r="142" spans="2:17" ht="16.5" thickBot="1" x14ac:dyDescent="0.3">
      <c r="B142" s="1204"/>
      <c r="C142" s="1192"/>
      <c r="D142" s="673"/>
      <c r="E142" s="1199"/>
      <c r="F142" s="1202"/>
      <c r="G142" s="1202"/>
      <c r="H142" s="1210"/>
      <c r="I142" s="1205"/>
      <c r="J142" s="1205"/>
      <c r="K142" s="1205"/>
      <c r="L142" s="1205"/>
      <c r="M142" s="547" t="s">
        <v>745</v>
      </c>
      <c r="N142" s="569"/>
      <c r="O142" s="681">
        <v>0</v>
      </c>
      <c r="P142" s="676">
        <v>0</v>
      </c>
      <c r="Q142" s="552" t="s">
        <v>695</v>
      </c>
    </row>
    <row r="143" spans="2:17" ht="16.5" thickBot="1" x14ac:dyDescent="0.3">
      <c r="B143" s="1206" t="s">
        <v>63</v>
      </c>
      <c r="C143" s="1215">
        <v>69121</v>
      </c>
      <c r="D143" s="704" t="s">
        <v>960</v>
      </c>
      <c r="E143" s="1207" t="s">
        <v>892</v>
      </c>
      <c r="F143" s="1200" t="s">
        <v>968</v>
      </c>
      <c r="G143" s="1200" t="s">
        <v>190</v>
      </c>
      <c r="H143" s="1232" t="s">
        <v>240</v>
      </c>
      <c r="I143" s="1206" t="s">
        <v>199</v>
      </c>
      <c r="J143" s="1206" t="s">
        <v>199</v>
      </c>
      <c r="K143" s="1206" t="s">
        <v>263</v>
      </c>
      <c r="L143" s="1206" t="s">
        <v>199</v>
      </c>
      <c r="M143" s="542" t="s">
        <v>122</v>
      </c>
      <c r="N143" s="568"/>
      <c r="O143" s="551">
        <f>O144+O145</f>
        <v>0</v>
      </c>
      <c r="P143" s="552">
        <f>P144+P145</f>
        <v>5500</v>
      </c>
      <c r="Q143" s="549">
        <f>Q144+Q145</f>
        <v>0</v>
      </c>
    </row>
    <row r="144" spans="2:17" ht="16.5" thickBot="1" x14ac:dyDescent="0.3">
      <c r="B144" s="1204"/>
      <c r="C144" s="1192"/>
      <c r="D144" s="673"/>
      <c r="E144" s="1199"/>
      <c r="F144" s="1201"/>
      <c r="G144" s="1201"/>
      <c r="H144" s="1209"/>
      <c r="I144" s="1204"/>
      <c r="J144" s="1204"/>
      <c r="K144" s="1204"/>
      <c r="L144" s="1204"/>
      <c r="M144" s="636" t="s">
        <v>123</v>
      </c>
      <c r="N144" s="569"/>
      <c r="O144" s="681">
        <v>0</v>
      </c>
      <c r="P144" s="676">
        <v>0</v>
      </c>
      <c r="Q144" s="552" t="s">
        <v>695</v>
      </c>
    </row>
    <row r="145" spans="2:28" ht="16.5" thickBot="1" x14ac:dyDescent="0.3">
      <c r="B145" s="1204"/>
      <c r="C145" s="1192"/>
      <c r="D145" s="673"/>
      <c r="E145" s="1199"/>
      <c r="F145" s="1201"/>
      <c r="G145" s="1201"/>
      <c r="H145" s="1209"/>
      <c r="I145" s="1204"/>
      <c r="J145" s="1204"/>
      <c r="K145" s="1204"/>
      <c r="L145" s="1204"/>
      <c r="M145" s="672" t="s">
        <v>124</v>
      </c>
      <c r="N145" s="569"/>
      <c r="O145" s="681">
        <v>0</v>
      </c>
      <c r="P145" s="676">
        <v>5500</v>
      </c>
      <c r="Q145" s="552" t="s">
        <v>695</v>
      </c>
    </row>
    <row r="146" spans="2:28" ht="16.5" thickBot="1" x14ac:dyDescent="0.3">
      <c r="B146" s="1204"/>
      <c r="C146" s="1192"/>
      <c r="D146" s="674"/>
      <c r="E146" s="1208"/>
      <c r="F146" s="1202"/>
      <c r="G146" s="1202"/>
      <c r="H146" s="1210"/>
      <c r="I146" s="1205"/>
      <c r="J146" s="1205"/>
      <c r="K146" s="1205"/>
      <c r="L146" s="1205"/>
      <c r="M146" s="547" t="s">
        <v>745</v>
      </c>
      <c r="N146" s="569"/>
      <c r="O146" s="681">
        <v>0</v>
      </c>
      <c r="P146" s="676">
        <v>0</v>
      </c>
      <c r="Q146" s="552" t="s">
        <v>965</v>
      </c>
    </row>
    <row r="147" spans="2:28" ht="16.5" thickBot="1" x14ac:dyDescent="0.3">
      <c r="B147" s="1206" t="s">
        <v>63</v>
      </c>
      <c r="C147" s="1215">
        <v>69121</v>
      </c>
      <c r="D147" s="704" t="s">
        <v>966</v>
      </c>
      <c r="E147" s="1207" t="s">
        <v>892</v>
      </c>
      <c r="F147" s="1200" t="s">
        <v>969</v>
      </c>
      <c r="G147" s="1200" t="s">
        <v>190</v>
      </c>
      <c r="H147" s="1232" t="s">
        <v>240</v>
      </c>
      <c r="I147" s="1206" t="s">
        <v>199</v>
      </c>
      <c r="J147" s="1206" t="s">
        <v>199</v>
      </c>
      <c r="K147" s="1206" t="s">
        <v>263</v>
      </c>
      <c r="L147" s="1206" t="s">
        <v>199</v>
      </c>
      <c r="M147" s="542" t="s">
        <v>122</v>
      </c>
      <c r="N147" s="568"/>
      <c r="O147" s="551">
        <f>O148+O149</f>
        <v>0</v>
      </c>
      <c r="P147" s="552">
        <f>P148+P149</f>
        <v>5600</v>
      </c>
      <c r="Q147" s="549">
        <f>Q148+Q149</f>
        <v>0</v>
      </c>
    </row>
    <row r="148" spans="2:28" ht="16.5" thickBot="1" x14ac:dyDescent="0.3">
      <c r="B148" s="1204"/>
      <c r="C148" s="1192"/>
      <c r="D148" s="673"/>
      <c r="E148" s="1199"/>
      <c r="F148" s="1201"/>
      <c r="G148" s="1201"/>
      <c r="H148" s="1209"/>
      <c r="I148" s="1204"/>
      <c r="J148" s="1204"/>
      <c r="K148" s="1204"/>
      <c r="L148" s="1204"/>
      <c r="M148" s="636" t="s">
        <v>123</v>
      </c>
      <c r="N148" s="569"/>
      <c r="O148" s="681">
        <v>0</v>
      </c>
      <c r="P148" s="676">
        <v>0</v>
      </c>
      <c r="Q148" s="552" t="s">
        <v>695</v>
      </c>
    </row>
    <row r="149" spans="2:28" ht="16.5" thickBot="1" x14ac:dyDescent="0.3">
      <c r="B149" s="1204"/>
      <c r="C149" s="1192"/>
      <c r="D149" s="673"/>
      <c r="E149" s="1199"/>
      <c r="F149" s="1201"/>
      <c r="G149" s="1201"/>
      <c r="H149" s="1209"/>
      <c r="I149" s="1204"/>
      <c r="J149" s="1204"/>
      <c r="K149" s="1204"/>
      <c r="L149" s="1204"/>
      <c r="M149" s="672" t="s">
        <v>124</v>
      </c>
      <c r="N149" s="569"/>
      <c r="O149" s="681">
        <v>0</v>
      </c>
      <c r="P149" s="676">
        <v>5600</v>
      </c>
      <c r="Q149" s="552" t="s">
        <v>788</v>
      </c>
    </row>
    <row r="150" spans="2:28" ht="16.5" thickBot="1" x14ac:dyDescent="0.3">
      <c r="B150" s="1205"/>
      <c r="C150" s="1216"/>
      <c r="D150" s="674"/>
      <c r="E150" s="1208"/>
      <c r="F150" s="1202"/>
      <c r="G150" s="1202"/>
      <c r="H150" s="1210"/>
      <c r="I150" s="1205"/>
      <c r="J150" s="1205"/>
      <c r="K150" s="1205"/>
      <c r="L150" s="1205"/>
      <c r="M150" s="547" t="s">
        <v>745</v>
      </c>
      <c r="N150" s="569"/>
      <c r="O150" s="681">
        <v>0</v>
      </c>
      <c r="P150" s="676">
        <v>0</v>
      </c>
      <c r="Q150" s="552" t="s">
        <v>695</v>
      </c>
    </row>
    <row r="151" spans="2:28" ht="16.5" thickBot="1" x14ac:dyDescent="0.3">
      <c r="B151" s="1206" t="s">
        <v>63</v>
      </c>
      <c r="C151" s="1215">
        <v>69121</v>
      </c>
      <c r="D151" s="704" t="s">
        <v>923</v>
      </c>
      <c r="E151" s="1207" t="s">
        <v>892</v>
      </c>
      <c r="F151" s="1200" t="s">
        <v>970</v>
      </c>
      <c r="G151" s="1200" t="s">
        <v>190</v>
      </c>
      <c r="H151" s="1232" t="s">
        <v>240</v>
      </c>
      <c r="I151" s="1206" t="s">
        <v>199</v>
      </c>
      <c r="J151" s="1206" t="s">
        <v>199</v>
      </c>
      <c r="K151" s="1206" t="s">
        <v>263</v>
      </c>
      <c r="L151" s="1206" t="s">
        <v>199</v>
      </c>
      <c r="M151" s="542" t="s">
        <v>122</v>
      </c>
      <c r="N151" s="568"/>
      <c r="O151" s="551">
        <f>O152+O153</f>
        <v>0</v>
      </c>
      <c r="P151" s="552">
        <f>P152+P153</f>
        <v>1424.45</v>
      </c>
      <c r="Q151" s="549">
        <f>Q152+Q153</f>
        <v>0</v>
      </c>
    </row>
    <row r="152" spans="2:28" ht="16.5" thickBot="1" x14ac:dyDescent="0.3">
      <c r="B152" s="1204"/>
      <c r="C152" s="1192"/>
      <c r="D152" s="673"/>
      <c r="E152" s="1199"/>
      <c r="F152" s="1201"/>
      <c r="G152" s="1201"/>
      <c r="H152" s="1209"/>
      <c r="I152" s="1204"/>
      <c r="J152" s="1204"/>
      <c r="K152" s="1204"/>
      <c r="L152" s="1204"/>
      <c r="M152" s="636" t="s">
        <v>123</v>
      </c>
      <c r="N152" s="569"/>
      <c r="O152" s="681">
        <v>0</v>
      </c>
      <c r="P152" s="676">
        <v>0</v>
      </c>
      <c r="Q152" s="552" t="s">
        <v>695</v>
      </c>
    </row>
    <row r="153" spans="2:28" ht="16.5" thickBot="1" x14ac:dyDescent="0.3">
      <c r="B153" s="1204"/>
      <c r="C153" s="1192"/>
      <c r="D153" s="673"/>
      <c r="E153" s="1199"/>
      <c r="F153" s="1201"/>
      <c r="G153" s="1201"/>
      <c r="H153" s="1209"/>
      <c r="I153" s="1204"/>
      <c r="J153" s="1204"/>
      <c r="K153" s="1204"/>
      <c r="L153" s="1204"/>
      <c r="M153" s="672" t="s">
        <v>124</v>
      </c>
      <c r="N153" s="569"/>
      <c r="O153" s="681">
        <v>0</v>
      </c>
      <c r="P153" s="676">
        <v>1424.45</v>
      </c>
      <c r="Q153" s="552" t="s">
        <v>695</v>
      </c>
    </row>
    <row r="154" spans="2:28" ht="16.5" thickBot="1" x14ac:dyDescent="0.3">
      <c r="B154" s="1205"/>
      <c r="C154" s="1216"/>
      <c r="D154" s="674"/>
      <c r="E154" s="1208"/>
      <c r="F154" s="1202"/>
      <c r="G154" s="1202"/>
      <c r="H154" s="1210"/>
      <c r="I154" s="1205"/>
      <c r="J154" s="1205"/>
      <c r="K154" s="1205"/>
      <c r="L154" s="1205"/>
      <c r="M154" s="547" t="s">
        <v>745</v>
      </c>
      <c r="N154" s="569"/>
      <c r="O154" s="681">
        <v>0</v>
      </c>
      <c r="P154" s="676">
        <v>0</v>
      </c>
      <c r="Q154" s="552" t="s">
        <v>695</v>
      </c>
    </row>
    <row r="155" spans="2:28" ht="16.5" thickBot="1" x14ac:dyDescent="0.3">
      <c r="B155" s="1206" t="s">
        <v>63</v>
      </c>
      <c r="C155" s="1215">
        <v>69121</v>
      </c>
      <c r="D155" s="704" t="s">
        <v>285</v>
      </c>
      <c r="E155" s="1207" t="s">
        <v>503</v>
      </c>
      <c r="F155" s="1200" t="s">
        <v>795</v>
      </c>
      <c r="G155" s="1200" t="s">
        <v>190</v>
      </c>
      <c r="H155" s="1232" t="s">
        <v>240</v>
      </c>
      <c r="I155" s="1206" t="s">
        <v>199</v>
      </c>
      <c r="J155" s="1206" t="s">
        <v>199</v>
      </c>
      <c r="K155" s="1206" t="s">
        <v>199</v>
      </c>
      <c r="L155" s="1206" t="s">
        <v>263</v>
      </c>
      <c r="M155" s="542" t="s">
        <v>122</v>
      </c>
      <c r="N155" s="568"/>
      <c r="O155" s="551">
        <f>O156+O157</f>
        <v>0</v>
      </c>
      <c r="P155" s="552">
        <f>P156+P157</f>
        <v>0</v>
      </c>
      <c r="Q155" s="549">
        <f>Q156+Q157</f>
        <v>1424.45</v>
      </c>
    </row>
    <row r="156" spans="2:28" ht="16.5" thickBot="1" x14ac:dyDescent="0.3">
      <c r="B156" s="1204"/>
      <c r="C156" s="1192"/>
      <c r="D156" s="673"/>
      <c r="E156" s="1199"/>
      <c r="F156" s="1201"/>
      <c r="G156" s="1201"/>
      <c r="H156" s="1209"/>
      <c r="I156" s="1204"/>
      <c r="J156" s="1204"/>
      <c r="K156" s="1204"/>
      <c r="L156" s="1204"/>
      <c r="M156" s="636" t="s">
        <v>123</v>
      </c>
      <c r="N156" s="569"/>
      <c r="O156" s="681">
        <v>0</v>
      </c>
      <c r="P156" s="676">
        <v>0</v>
      </c>
      <c r="Q156" s="552" t="s">
        <v>695</v>
      </c>
    </row>
    <row r="157" spans="2:28" ht="16.5" thickBot="1" x14ac:dyDescent="0.3">
      <c r="B157" s="1204"/>
      <c r="C157" s="1192"/>
      <c r="D157" s="673"/>
      <c r="E157" s="1199"/>
      <c r="F157" s="1201"/>
      <c r="G157" s="1201"/>
      <c r="H157" s="1209"/>
      <c r="I157" s="1204"/>
      <c r="J157" s="1204"/>
      <c r="K157" s="1204"/>
      <c r="L157" s="1204"/>
      <c r="M157" s="672" t="s">
        <v>124</v>
      </c>
      <c r="N157" s="569"/>
      <c r="O157" s="681">
        <v>0</v>
      </c>
      <c r="P157" s="676">
        <v>0</v>
      </c>
      <c r="Q157" s="552" t="s">
        <v>790</v>
      </c>
    </row>
    <row r="158" spans="2:28" ht="16.5" thickBot="1" x14ac:dyDescent="0.3">
      <c r="B158" s="1205"/>
      <c r="C158" s="1216"/>
      <c r="D158" s="674"/>
      <c r="E158" s="1208"/>
      <c r="F158" s="1202"/>
      <c r="G158" s="1202"/>
      <c r="H158" s="1210"/>
      <c r="I158" s="1205"/>
      <c r="J158" s="1205"/>
      <c r="K158" s="1205"/>
      <c r="L158" s="1205"/>
      <c r="M158" s="547" t="s">
        <v>745</v>
      </c>
      <c r="N158" s="569"/>
      <c r="O158" s="681">
        <v>0</v>
      </c>
      <c r="P158" s="676">
        <v>0</v>
      </c>
      <c r="Q158" s="552" t="s">
        <v>695</v>
      </c>
    </row>
    <row r="159" spans="2:28" ht="36.75" thickBot="1" x14ac:dyDescent="0.3">
      <c r="B159" s="1204" t="s">
        <v>64</v>
      </c>
      <c r="C159" s="1243" t="s">
        <v>116</v>
      </c>
      <c r="D159" s="1230" t="s">
        <v>116</v>
      </c>
      <c r="E159" s="1199" t="s">
        <v>116</v>
      </c>
      <c r="F159" s="1230" t="s">
        <v>1050</v>
      </c>
      <c r="G159" s="677" t="s">
        <v>1061</v>
      </c>
      <c r="H159" s="791" t="s">
        <v>244</v>
      </c>
      <c r="I159" s="679" t="s">
        <v>1062</v>
      </c>
      <c r="J159" s="1204" t="s">
        <v>528</v>
      </c>
      <c r="K159" s="679" t="s">
        <v>1062</v>
      </c>
      <c r="L159" s="679" t="s">
        <v>1062</v>
      </c>
      <c r="M159" s="542" t="s">
        <v>122</v>
      </c>
      <c r="N159" s="1288" t="e">
        <f>N163+N247+#REF!</f>
        <v>#REF!</v>
      </c>
      <c r="O159" s="698">
        <f>O160+O161</f>
        <v>301513.09399999998</v>
      </c>
      <c r="P159" s="793">
        <f>P160+P161</f>
        <v>192160.04</v>
      </c>
      <c r="Q159" s="794">
        <f>Q160+Q161</f>
        <v>165808.98000000001</v>
      </c>
      <c r="R159" s="51">
        <f>301513090.28/1000</f>
        <v>301513.09027999995</v>
      </c>
      <c r="S159" s="51">
        <f>192160039.41/1000</f>
        <v>192160.03941</v>
      </c>
      <c r="T159" s="51">
        <f>165808978.411/1000</f>
        <v>165808.97841100002</v>
      </c>
      <c r="V159" s="51">
        <v>301513.09000000003</v>
      </c>
      <c r="W159" s="51">
        <v>192160.04</v>
      </c>
      <c r="X159" s="51">
        <v>165808.98000000001</v>
      </c>
      <c r="Z159" s="776">
        <f>V159-O159</f>
        <v>-3.9999999571591616E-3</v>
      </c>
      <c r="AA159" s="776">
        <f>W159-P159</f>
        <v>0</v>
      </c>
      <c r="AB159" s="776">
        <f>X159-Q159</f>
        <v>0</v>
      </c>
    </row>
    <row r="160" spans="2:28" ht="36" customHeight="1" thickBot="1" x14ac:dyDescent="0.3">
      <c r="B160" s="1204"/>
      <c r="C160" s="1243"/>
      <c r="D160" s="1230"/>
      <c r="E160" s="1199"/>
      <c r="F160" s="1230"/>
      <c r="G160" s="1200" t="s">
        <v>187</v>
      </c>
      <c r="H160" s="1232" t="s">
        <v>241</v>
      </c>
      <c r="I160" s="1207">
        <v>3</v>
      </c>
      <c r="J160" s="1204"/>
      <c r="K160" s="636">
        <v>3</v>
      </c>
      <c r="L160" s="636">
        <v>3</v>
      </c>
      <c r="M160" s="636" t="s">
        <v>123</v>
      </c>
      <c r="N160" s="1289"/>
      <c r="O160" s="698">
        <f t="shared" ref="O160:Q162" si="3">O164+O212+O248</f>
        <v>0</v>
      </c>
      <c r="P160" s="793">
        <f t="shared" si="3"/>
        <v>0</v>
      </c>
      <c r="Q160" s="794">
        <f t="shared" si="3"/>
        <v>0</v>
      </c>
      <c r="R160" s="777">
        <f>R159-O159</f>
        <v>-3.7200000369921327E-3</v>
      </c>
      <c r="S160" s="777">
        <f>S159-P159</f>
        <v>-5.90000010561198E-4</v>
      </c>
      <c r="T160" s="777">
        <f>T159-Q159</f>
        <v>-1.588999992236495E-3</v>
      </c>
    </row>
    <row r="161" spans="2:28" ht="16.5" thickBot="1" x14ac:dyDescent="0.3">
      <c r="B161" s="1204"/>
      <c r="C161" s="1243"/>
      <c r="D161" s="1230"/>
      <c r="E161" s="1199"/>
      <c r="F161" s="1230"/>
      <c r="G161" s="1201"/>
      <c r="H161" s="1209"/>
      <c r="I161" s="1199"/>
      <c r="J161" s="1204"/>
      <c r="K161" s="795"/>
      <c r="L161" s="795"/>
      <c r="M161" s="672" t="s">
        <v>124</v>
      </c>
      <c r="N161" s="1289"/>
      <c r="O161" s="698">
        <f>O165+O213+O249</f>
        <v>301513.09399999998</v>
      </c>
      <c r="P161" s="793">
        <f>P165+P213+P249</f>
        <v>192160.04</v>
      </c>
      <c r="Q161" s="794">
        <f>Q165+Q213+Q249</f>
        <v>165808.98000000001</v>
      </c>
    </row>
    <row r="162" spans="2:28" ht="16.5" thickBot="1" x14ac:dyDescent="0.3">
      <c r="B162" s="1204"/>
      <c r="C162" s="1243"/>
      <c r="D162" s="1230"/>
      <c r="E162" s="1199"/>
      <c r="F162" s="1230"/>
      <c r="G162" s="1202"/>
      <c r="H162" s="1210"/>
      <c r="I162" s="1208"/>
      <c r="J162" s="1204"/>
      <c r="K162" s="796"/>
      <c r="L162" s="796"/>
      <c r="M162" s="671" t="s">
        <v>745</v>
      </c>
      <c r="N162" s="1289"/>
      <c r="O162" s="698">
        <f t="shared" si="3"/>
        <v>0</v>
      </c>
      <c r="P162" s="793">
        <f t="shared" si="3"/>
        <v>0</v>
      </c>
      <c r="Q162" s="552">
        <f t="shared" si="3"/>
        <v>0</v>
      </c>
    </row>
    <row r="163" spans="2:28" ht="16.5" customHeight="1" thickBot="1" x14ac:dyDescent="0.3">
      <c r="B163" s="1206" t="s">
        <v>64</v>
      </c>
      <c r="C163" s="1308">
        <v>67311</v>
      </c>
      <c r="D163" s="704" t="s">
        <v>116</v>
      </c>
      <c r="E163" s="1232" t="s">
        <v>116</v>
      </c>
      <c r="F163" s="1200" t="s">
        <v>699</v>
      </c>
      <c r="G163" s="1200" t="s">
        <v>1061</v>
      </c>
      <c r="H163" s="1232" t="s">
        <v>116</v>
      </c>
      <c r="I163" s="1206">
        <f>I167+I171+I175+I179+I183+I187+I191+I195+I199+I203</f>
        <v>480983</v>
      </c>
      <c r="J163" s="1206" t="s">
        <v>528</v>
      </c>
      <c r="K163" s="1206">
        <f>K167+K171+K175+K179+K183+K187+K191+K195+K199+K203</f>
        <v>480983</v>
      </c>
      <c r="L163" s="1206">
        <f>L167+L171+L175+L179+L183+L187+L191+L195+L199+L203</f>
        <v>480983</v>
      </c>
      <c r="M163" s="542" t="s">
        <v>122</v>
      </c>
      <c r="N163" s="563" t="e">
        <f>N167+N171+N175+N179+N183+N187+N191+#REF!+#REF!+N207</f>
        <v>#REF!</v>
      </c>
      <c r="O163" s="681">
        <f>O164+O165</f>
        <v>27587.019999999997</v>
      </c>
      <c r="P163" s="552">
        <f>P164+P165</f>
        <v>29496.049999999996</v>
      </c>
      <c r="Q163" s="552">
        <f>Q164+Q165</f>
        <v>31488.17</v>
      </c>
      <c r="R163" s="51">
        <f>27587023.84/1000</f>
        <v>27587.023840000002</v>
      </c>
      <c r="S163" s="51">
        <f>29496054.66/1000</f>
        <v>29496.054660000002</v>
      </c>
      <c r="T163" s="51">
        <f>31488172.66/1000</f>
        <v>31488.17266</v>
      </c>
      <c r="U163" s="780"/>
      <c r="V163" s="707">
        <v>27587.02</v>
      </c>
      <c r="W163" s="707">
        <v>29496.05</v>
      </c>
      <c r="X163" s="51">
        <v>31488.17</v>
      </c>
      <c r="Z163" s="776">
        <f>V163-O163</f>
        <v>0</v>
      </c>
      <c r="AA163" s="776">
        <f>W163-P163</f>
        <v>0</v>
      </c>
      <c r="AB163" s="776">
        <f>X163-Q163</f>
        <v>0</v>
      </c>
    </row>
    <row r="164" spans="2:28" ht="16.5" thickBot="1" x14ac:dyDescent="0.3">
      <c r="B164" s="1204"/>
      <c r="C164" s="1259"/>
      <c r="D164" s="694"/>
      <c r="E164" s="1209"/>
      <c r="F164" s="1201"/>
      <c r="G164" s="1201"/>
      <c r="H164" s="1209"/>
      <c r="I164" s="1199"/>
      <c r="J164" s="1204"/>
      <c r="K164" s="1199"/>
      <c r="L164" s="1199"/>
      <c r="M164" s="636" t="s">
        <v>123</v>
      </c>
      <c r="N164" s="550"/>
      <c r="O164" s="681">
        <f>O168+O172+O176+O180+O184+O188+O192+O196+O208</f>
        <v>0</v>
      </c>
      <c r="P164" s="552">
        <f>P168+P172+P176+P180+P184+P188+P192+P196+P208</f>
        <v>0</v>
      </c>
      <c r="Q164" s="552">
        <f>Q168+Q172+Q176+Q180+Q184+Q188+Q192+Q196+Q208</f>
        <v>0</v>
      </c>
      <c r="R164" s="777">
        <f>R163-O163</f>
        <v>3.8400000048568472E-3</v>
      </c>
      <c r="S164" s="777">
        <f>S163-P163</f>
        <v>4.6600000059697777E-3</v>
      </c>
      <c r="T164" s="777">
        <f>T163-Q163</f>
        <v>2.6600000019243453E-3</v>
      </c>
      <c r="U164" s="1415"/>
      <c r="V164" s="1415"/>
      <c r="W164" s="1415"/>
    </row>
    <row r="165" spans="2:28" ht="16.5" thickBot="1" x14ac:dyDescent="0.3">
      <c r="B165" s="1204"/>
      <c r="C165" s="1259"/>
      <c r="D165" s="694"/>
      <c r="E165" s="1209"/>
      <c r="F165" s="1201"/>
      <c r="G165" s="1201"/>
      <c r="H165" s="1209"/>
      <c r="I165" s="1199"/>
      <c r="J165" s="1204"/>
      <c r="K165" s="1199"/>
      <c r="L165" s="1199"/>
      <c r="M165" s="672" t="s">
        <v>124</v>
      </c>
      <c r="N165" s="550"/>
      <c r="O165" s="681">
        <f>O169+O173+O177+O181+O185+O189+O193+O197+O201+O205+O209</f>
        <v>27587.019999999997</v>
      </c>
      <c r="P165" s="676">
        <f>P169+P173+P177+P181+P185+P189+P193+P197+P201+P205+P209</f>
        <v>29496.049999999996</v>
      </c>
      <c r="Q165" s="676">
        <f>Q169+Q173+Q177+Q181+Q185+Q189+Q193+Q197+Q201+Q205+Q209</f>
        <v>31488.17</v>
      </c>
    </row>
    <row r="166" spans="2:28" ht="16.5" thickBot="1" x14ac:dyDescent="0.3">
      <c r="B166" s="1204"/>
      <c r="C166" s="1259"/>
      <c r="D166" s="694"/>
      <c r="E166" s="1209"/>
      <c r="F166" s="1201"/>
      <c r="G166" s="1202"/>
      <c r="H166" s="1209"/>
      <c r="I166" s="1199"/>
      <c r="J166" s="1204"/>
      <c r="K166" s="1199"/>
      <c r="L166" s="1199"/>
      <c r="M166" s="671" t="s">
        <v>745</v>
      </c>
      <c r="N166" s="550"/>
      <c r="O166" s="681">
        <f>O170+O174+O178+O182+O186+O190+O194+O198+O210</f>
        <v>0</v>
      </c>
      <c r="P166" s="552">
        <f>P170+P174+P178+P182+P186+P190+P194+P198+P210</f>
        <v>0</v>
      </c>
      <c r="Q166" s="552">
        <f>Q170+Q174+Q178+Q182+Q186+Q190+Q194+Q198+Q210</f>
        <v>0</v>
      </c>
    </row>
    <row r="167" spans="2:28" ht="16.5" thickBot="1" x14ac:dyDescent="0.3">
      <c r="B167" s="1206" t="s">
        <v>64</v>
      </c>
      <c r="C167" s="1207">
        <v>67311</v>
      </c>
      <c r="D167" s="1207" t="s">
        <v>379</v>
      </c>
      <c r="E167" s="1207" t="s">
        <v>200</v>
      </c>
      <c r="F167" s="1200" t="s">
        <v>699</v>
      </c>
      <c r="G167" s="1200" t="s">
        <v>1061</v>
      </c>
      <c r="H167" s="1207" t="s">
        <v>244</v>
      </c>
      <c r="I167" s="1206">
        <v>43875</v>
      </c>
      <c r="J167" s="1206" t="s">
        <v>528</v>
      </c>
      <c r="K167" s="1206">
        <v>43875</v>
      </c>
      <c r="L167" s="1206">
        <v>43875</v>
      </c>
      <c r="M167" s="542" t="s">
        <v>122</v>
      </c>
      <c r="N167" s="1248">
        <v>30196.73402</v>
      </c>
      <c r="O167" s="551">
        <f>O168+O169</f>
        <v>2186.0100000000002</v>
      </c>
      <c r="P167" s="551">
        <f>P168+P169</f>
        <v>2186.0100000000002</v>
      </c>
      <c r="Q167" s="552">
        <f>Q168+Q169</f>
        <v>2186.0100000000002</v>
      </c>
    </row>
    <row r="168" spans="2:28" ht="16.5" thickBot="1" x14ac:dyDescent="0.3">
      <c r="B168" s="1204"/>
      <c r="C168" s="1199"/>
      <c r="D168" s="1199"/>
      <c r="E168" s="1199"/>
      <c r="F168" s="1201"/>
      <c r="G168" s="1201"/>
      <c r="H168" s="1199"/>
      <c r="I168" s="1204"/>
      <c r="J168" s="1204"/>
      <c r="K168" s="1204"/>
      <c r="L168" s="1204"/>
      <c r="M168" s="636" t="s">
        <v>123</v>
      </c>
      <c r="N168" s="1249"/>
      <c r="O168" s="561">
        <v>0</v>
      </c>
      <c r="P168" s="562">
        <v>0</v>
      </c>
      <c r="Q168" s="550">
        <v>0</v>
      </c>
    </row>
    <row r="169" spans="2:28" ht="16.5" thickBot="1" x14ac:dyDescent="0.3">
      <c r="B169" s="1204"/>
      <c r="C169" s="1199"/>
      <c r="D169" s="1199"/>
      <c r="E169" s="1199"/>
      <c r="F169" s="1201"/>
      <c r="G169" s="1201"/>
      <c r="H169" s="1199"/>
      <c r="I169" s="1204"/>
      <c r="J169" s="1204"/>
      <c r="K169" s="1204"/>
      <c r="L169" s="1204"/>
      <c r="M169" s="672" t="s">
        <v>124</v>
      </c>
      <c r="N169" s="1249"/>
      <c r="O169" s="551">
        <v>2186.0100000000002</v>
      </c>
      <c r="P169" s="552">
        <v>2186.0100000000002</v>
      </c>
      <c r="Q169" s="549">
        <v>2186.0100000000002</v>
      </c>
      <c r="R169" s="745"/>
    </row>
    <row r="170" spans="2:28" ht="16.5" thickBot="1" x14ac:dyDescent="0.3">
      <c r="B170" s="1204"/>
      <c r="C170" s="1199"/>
      <c r="D170" s="1199"/>
      <c r="E170" s="1199"/>
      <c r="F170" s="1201"/>
      <c r="G170" s="1201"/>
      <c r="H170" s="1199"/>
      <c r="I170" s="1204"/>
      <c r="J170" s="1204"/>
      <c r="K170" s="1204"/>
      <c r="L170" s="1204"/>
      <c r="M170" s="547" t="s">
        <v>745</v>
      </c>
      <c r="N170" s="1249"/>
      <c r="O170" s="552">
        <v>0</v>
      </c>
      <c r="P170" s="676">
        <v>0</v>
      </c>
      <c r="Q170" s="552">
        <v>0</v>
      </c>
    </row>
    <row r="171" spans="2:28" ht="16.5" thickBot="1" x14ac:dyDescent="0.3">
      <c r="B171" s="1206" t="s">
        <v>64</v>
      </c>
      <c r="C171" s="1207">
        <v>67311</v>
      </c>
      <c r="D171" s="1229">
        <v>27301848</v>
      </c>
      <c r="E171" s="1207" t="s">
        <v>380</v>
      </c>
      <c r="F171" s="1200" t="s">
        <v>699</v>
      </c>
      <c r="G171" s="1200" t="s">
        <v>1061</v>
      </c>
      <c r="H171" s="1207" t="s">
        <v>244</v>
      </c>
      <c r="I171" s="1207">
        <v>9152</v>
      </c>
      <c r="J171" s="1206" t="s">
        <v>528</v>
      </c>
      <c r="K171" s="1207">
        <v>9152</v>
      </c>
      <c r="L171" s="1207">
        <v>9152</v>
      </c>
      <c r="M171" s="542" t="s">
        <v>122</v>
      </c>
      <c r="N171" s="1248">
        <v>16658.537670000002</v>
      </c>
      <c r="O171" s="551">
        <f>O172+O173</f>
        <v>1346.07</v>
      </c>
      <c r="P171" s="551">
        <f>P172+P173</f>
        <v>1346.07</v>
      </c>
      <c r="Q171" s="552">
        <f>Q172+Q173</f>
        <v>1346.07</v>
      </c>
    </row>
    <row r="172" spans="2:28" ht="16.5" thickBot="1" x14ac:dyDescent="0.3">
      <c r="B172" s="1204"/>
      <c r="C172" s="1199"/>
      <c r="D172" s="1230"/>
      <c r="E172" s="1199"/>
      <c r="F172" s="1201"/>
      <c r="G172" s="1201"/>
      <c r="H172" s="1199"/>
      <c r="I172" s="1199"/>
      <c r="J172" s="1204"/>
      <c r="K172" s="1199"/>
      <c r="L172" s="1199"/>
      <c r="M172" s="636" t="s">
        <v>123</v>
      </c>
      <c r="N172" s="1249"/>
      <c r="O172" s="551">
        <v>0</v>
      </c>
      <c r="P172" s="552">
        <v>0</v>
      </c>
      <c r="Q172" s="549">
        <v>0</v>
      </c>
    </row>
    <row r="173" spans="2:28" ht="16.5" thickBot="1" x14ac:dyDescent="0.3">
      <c r="B173" s="1204"/>
      <c r="C173" s="1199"/>
      <c r="D173" s="1245"/>
      <c r="E173" s="1199"/>
      <c r="F173" s="1201"/>
      <c r="G173" s="1201"/>
      <c r="H173" s="1199"/>
      <c r="I173" s="1199"/>
      <c r="J173" s="1204"/>
      <c r="K173" s="1199"/>
      <c r="L173" s="1199"/>
      <c r="M173" s="672" t="s">
        <v>124</v>
      </c>
      <c r="N173" s="1250"/>
      <c r="O173" s="557">
        <v>1346.07</v>
      </c>
      <c r="P173" s="676">
        <v>1346.07</v>
      </c>
      <c r="Q173" s="563">
        <v>1346.07</v>
      </c>
      <c r="R173" s="745"/>
    </row>
    <row r="174" spans="2:28" ht="16.5" thickBot="1" x14ac:dyDescent="0.3">
      <c r="B174" s="1205"/>
      <c r="C174" s="1199"/>
      <c r="D174" s="674"/>
      <c r="E174" s="1208"/>
      <c r="F174" s="1201"/>
      <c r="G174" s="1202"/>
      <c r="H174" s="1208"/>
      <c r="I174" s="1208"/>
      <c r="J174" s="1205"/>
      <c r="K174" s="1208"/>
      <c r="L174" s="1208"/>
      <c r="M174" s="547" t="s">
        <v>745</v>
      </c>
      <c r="N174" s="563"/>
      <c r="O174" s="557">
        <v>0</v>
      </c>
      <c r="P174" s="676">
        <v>0</v>
      </c>
      <c r="Q174" s="563">
        <v>0</v>
      </c>
    </row>
    <row r="175" spans="2:28" ht="16.5" thickBot="1" x14ac:dyDescent="0.3">
      <c r="B175" s="1206" t="s">
        <v>64</v>
      </c>
      <c r="C175" s="1207">
        <v>67311</v>
      </c>
      <c r="D175" s="1199" t="s">
        <v>382</v>
      </c>
      <c r="E175" s="1207" t="s">
        <v>383</v>
      </c>
      <c r="F175" s="1200" t="s">
        <v>699</v>
      </c>
      <c r="G175" s="1200" t="s">
        <v>1061</v>
      </c>
      <c r="H175" s="1207" t="s">
        <v>244</v>
      </c>
      <c r="I175" s="1207">
        <v>17250</v>
      </c>
      <c r="J175" s="1206" t="s">
        <v>528</v>
      </c>
      <c r="K175" s="1207">
        <v>17250</v>
      </c>
      <c r="L175" s="1207">
        <v>17250</v>
      </c>
      <c r="M175" s="542" t="s">
        <v>122</v>
      </c>
      <c r="N175" s="1248">
        <v>16658.537670000002</v>
      </c>
      <c r="O175" s="551">
        <f>O176+O177</f>
        <v>771.37</v>
      </c>
      <c r="P175" s="551">
        <f>P176+P177</f>
        <v>771.37</v>
      </c>
      <c r="Q175" s="552">
        <f>Q176+Q177</f>
        <v>771.37</v>
      </c>
    </row>
    <row r="176" spans="2:28" ht="16.5" thickBot="1" x14ac:dyDescent="0.3">
      <c r="B176" s="1204"/>
      <c r="C176" s="1199"/>
      <c r="D176" s="1199"/>
      <c r="E176" s="1199"/>
      <c r="F176" s="1201"/>
      <c r="G176" s="1201"/>
      <c r="H176" s="1199"/>
      <c r="I176" s="1199"/>
      <c r="J176" s="1204"/>
      <c r="K176" s="1199"/>
      <c r="L176" s="1199"/>
      <c r="M176" s="636" t="s">
        <v>123</v>
      </c>
      <c r="N176" s="1249"/>
      <c r="O176" s="551">
        <v>0</v>
      </c>
      <c r="P176" s="552">
        <v>0</v>
      </c>
      <c r="Q176" s="549">
        <v>0</v>
      </c>
    </row>
    <row r="177" spans="2:18" ht="16.5" thickBot="1" x14ac:dyDescent="0.3">
      <c r="B177" s="1204"/>
      <c r="C177" s="1199"/>
      <c r="D177" s="1199"/>
      <c r="E177" s="1199"/>
      <c r="F177" s="1201"/>
      <c r="G177" s="1201"/>
      <c r="H177" s="1199"/>
      <c r="I177" s="1199"/>
      <c r="J177" s="1204"/>
      <c r="K177" s="1199"/>
      <c r="L177" s="1199"/>
      <c r="M177" s="672" t="s">
        <v>124</v>
      </c>
      <c r="N177" s="1250"/>
      <c r="O177" s="557">
        <v>771.37</v>
      </c>
      <c r="P177" s="676">
        <v>771.37</v>
      </c>
      <c r="Q177" s="563">
        <v>771.37</v>
      </c>
      <c r="R177" s="745"/>
    </row>
    <row r="178" spans="2:18" ht="16.5" thickBot="1" x14ac:dyDescent="0.3">
      <c r="B178" s="1205"/>
      <c r="C178" s="1199"/>
      <c r="D178" s="672"/>
      <c r="E178" s="1208"/>
      <c r="F178" s="1202"/>
      <c r="G178" s="1202"/>
      <c r="H178" s="1208"/>
      <c r="I178" s="1208"/>
      <c r="J178" s="1205"/>
      <c r="K178" s="1208"/>
      <c r="L178" s="1208"/>
      <c r="M178" s="671" t="s">
        <v>745</v>
      </c>
      <c r="N178" s="550"/>
      <c r="O178" s="561">
        <v>0</v>
      </c>
      <c r="P178" s="562">
        <v>0</v>
      </c>
      <c r="Q178" s="550">
        <v>0</v>
      </c>
    </row>
    <row r="179" spans="2:18" ht="16.5" thickBot="1" x14ac:dyDescent="0.3">
      <c r="B179" s="1206" t="s">
        <v>64</v>
      </c>
      <c r="C179" s="1207">
        <v>67311</v>
      </c>
      <c r="D179" s="1207">
        <v>27301837</v>
      </c>
      <c r="E179" s="1207" t="s">
        <v>628</v>
      </c>
      <c r="F179" s="1200" t="s">
        <v>699</v>
      </c>
      <c r="G179" s="1200" t="s">
        <v>1061</v>
      </c>
      <c r="H179" s="1207" t="s">
        <v>244</v>
      </c>
      <c r="I179" s="1207">
        <v>7544</v>
      </c>
      <c r="J179" s="1206" t="s">
        <v>528</v>
      </c>
      <c r="K179" s="1207">
        <v>7544</v>
      </c>
      <c r="L179" s="1207">
        <v>7544</v>
      </c>
      <c r="M179" s="542" t="s">
        <v>122</v>
      </c>
      <c r="N179" s="1248">
        <v>6704.5638200000003</v>
      </c>
      <c r="O179" s="551">
        <f>O180+O181+O182</f>
        <v>718.94</v>
      </c>
      <c r="P179" s="551">
        <f>P180+P181+P182</f>
        <v>718.94</v>
      </c>
      <c r="Q179" s="552">
        <f>Q180+Q181+Q182</f>
        <v>718.94</v>
      </c>
    </row>
    <row r="180" spans="2:18" ht="16.5" thickBot="1" x14ac:dyDescent="0.3">
      <c r="B180" s="1204"/>
      <c r="C180" s="1199"/>
      <c r="D180" s="1199"/>
      <c r="E180" s="1199"/>
      <c r="F180" s="1201"/>
      <c r="G180" s="1201"/>
      <c r="H180" s="1199"/>
      <c r="I180" s="1199"/>
      <c r="J180" s="1204"/>
      <c r="K180" s="1199"/>
      <c r="L180" s="1199"/>
      <c r="M180" s="636" t="s">
        <v>123</v>
      </c>
      <c r="N180" s="1249"/>
      <c r="O180" s="561">
        <v>0</v>
      </c>
      <c r="P180" s="562">
        <v>0</v>
      </c>
      <c r="Q180" s="550">
        <v>0</v>
      </c>
    </row>
    <row r="181" spans="2:18" ht="16.5" thickBot="1" x14ac:dyDescent="0.3">
      <c r="B181" s="1204"/>
      <c r="C181" s="1199"/>
      <c r="D181" s="1237"/>
      <c r="E181" s="1199"/>
      <c r="F181" s="1201"/>
      <c r="G181" s="1201"/>
      <c r="H181" s="1199"/>
      <c r="I181" s="1199"/>
      <c r="J181" s="1204"/>
      <c r="K181" s="1199"/>
      <c r="L181" s="1199"/>
      <c r="M181" s="672" t="s">
        <v>124</v>
      </c>
      <c r="N181" s="1250"/>
      <c r="O181" s="551">
        <v>718.94</v>
      </c>
      <c r="P181" s="552">
        <v>718.94</v>
      </c>
      <c r="Q181" s="552">
        <v>718.94</v>
      </c>
      <c r="R181" s="745"/>
    </row>
    <row r="182" spans="2:18" ht="16.5" thickBot="1" x14ac:dyDescent="0.3">
      <c r="B182" s="1205"/>
      <c r="C182" s="1199"/>
      <c r="D182" s="692"/>
      <c r="E182" s="1208"/>
      <c r="F182" s="1202"/>
      <c r="G182" s="1202"/>
      <c r="H182" s="1208"/>
      <c r="I182" s="1208"/>
      <c r="J182" s="1205"/>
      <c r="K182" s="1208"/>
      <c r="L182" s="1208"/>
      <c r="M182" s="547" t="s">
        <v>745</v>
      </c>
      <c r="N182" s="681"/>
      <c r="O182" s="557">
        <v>0</v>
      </c>
      <c r="P182" s="676">
        <v>0</v>
      </c>
      <c r="Q182" s="563">
        <v>0</v>
      </c>
    </row>
    <row r="183" spans="2:18" ht="16.5" thickBot="1" x14ac:dyDescent="0.3">
      <c r="B183" s="1206" t="s">
        <v>64</v>
      </c>
      <c r="C183" s="1207">
        <v>67311</v>
      </c>
      <c r="D183" s="1207">
        <v>27302170</v>
      </c>
      <c r="E183" s="1207" t="s">
        <v>201</v>
      </c>
      <c r="F183" s="1200" t="s">
        <v>699</v>
      </c>
      <c r="G183" s="1200" t="s">
        <v>1061</v>
      </c>
      <c r="H183" s="1207" t="s">
        <v>244</v>
      </c>
      <c r="I183" s="1207">
        <v>93720</v>
      </c>
      <c r="J183" s="1206" t="s">
        <v>528</v>
      </c>
      <c r="K183" s="1207">
        <v>93720</v>
      </c>
      <c r="L183" s="1207">
        <v>93720</v>
      </c>
      <c r="M183" s="542" t="s">
        <v>122</v>
      </c>
      <c r="N183" s="1248">
        <v>6704.5638200000003</v>
      </c>
      <c r="O183" s="551">
        <f>O184+O185+O186</f>
        <v>4000</v>
      </c>
      <c r="P183" s="551">
        <f>P184+P185+P186</f>
        <v>4000</v>
      </c>
      <c r="Q183" s="552">
        <f>Q184+Q185+Q186</f>
        <v>4000</v>
      </c>
    </row>
    <row r="184" spans="2:18" ht="16.5" thickBot="1" x14ac:dyDescent="0.3">
      <c r="B184" s="1204"/>
      <c r="C184" s="1199"/>
      <c r="D184" s="1199"/>
      <c r="E184" s="1199"/>
      <c r="F184" s="1201"/>
      <c r="G184" s="1201"/>
      <c r="H184" s="1199"/>
      <c r="I184" s="1199"/>
      <c r="J184" s="1204"/>
      <c r="K184" s="1199"/>
      <c r="L184" s="1199"/>
      <c r="M184" s="636" t="s">
        <v>123</v>
      </c>
      <c r="N184" s="1249"/>
      <c r="O184" s="561">
        <v>0</v>
      </c>
      <c r="P184" s="562">
        <v>0</v>
      </c>
      <c r="Q184" s="550">
        <v>0</v>
      </c>
    </row>
    <row r="185" spans="2:18" ht="16.5" thickBot="1" x14ac:dyDescent="0.3">
      <c r="B185" s="1204"/>
      <c r="C185" s="1199"/>
      <c r="D185" s="1237"/>
      <c r="E185" s="1199"/>
      <c r="F185" s="1201"/>
      <c r="G185" s="1201"/>
      <c r="H185" s="1199"/>
      <c r="I185" s="1199"/>
      <c r="J185" s="1204"/>
      <c r="K185" s="1199"/>
      <c r="L185" s="1199"/>
      <c r="M185" s="672" t="s">
        <v>124</v>
      </c>
      <c r="N185" s="1250"/>
      <c r="O185" s="551">
        <v>4000</v>
      </c>
      <c r="P185" s="552">
        <v>4000</v>
      </c>
      <c r="Q185" s="552">
        <v>4000</v>
      </c>
      <c r="R185" s="745"/>
    </row>
    <row r="186" spans="2:18" ht="16.5" thickBot="1" x14ac:dyDescent="0.3">
      <c r="B186" s="1205"/>
      <c r="C186" s="1199"/>
      <c r="D186" s="692"/>
      <c r="E186" s="1208"/>
      <c r="F186" s="1202"/>
      <c r="G186" s="1202"/>
      <c r="H186" s="1208"/>
      <c r="I186" s="1208"/>
      <c r="J186" s="1205"/>
      <c r="K186" s="1208"/>
      <c r="L186" s="1208"/>
      <c r="M186" s="547" t="s">
        <v>745</v>
      </c>
      <c r="N186" s="681"/>
      <c r="O186" s="557">
        <v>0</v>
      </c>
      <c r="P186" s="676">
        <v>0</v>
      </c>
      <c r="Q186" s="563">
        <v>0</v>
      </c>
    </row>
    <row r="187" spans="2:18" ht="16.5" customHeight="1" thickBot="1" x14ac:dyDescent="0.3">
      <c r="B187" s="1206" t="s">
        <v>64</v>
      </c>
      <c r="C187" s="1207">
        <v>67311</v>
      </c>
      <c r="D187" s="1207">
        <v>27301830</v>
      </c>
      <c r="E187" s="1207" t="s">
        <v>458</v>
      </c>
      <c r="F187" s="1200" t="s">
        <v>699</v>
      </c>
      <c r="G187" s="1200" t="s">
        <v>1061</v>
      </c>
      <c r="H187" s="1207" t="s">
        <v>244</v>
      </c>
      <c r="I187" s="1207">
        <v>133884</v>
      </c>
      <c r="J187" s="1206" t="s">
        <v>528</v>
      </c>
      <c r="K187" s="1207">
        <v>133884</v>
      </c>
      <c r="L187" s="1207">
        <v>133884</v>
      </c>
      <c r="M187" s="542" t="s">
        <v>122</v>
      </c>
      <c r="N187" s="1248">
        <v>6704.5638200000003</v>
      </c>
      <c r="O187" s="551">
        <f>O188+O189+O190</f>
        <v>6382.69</v>
      </c>
      <c r="P187" s="551">
        <f>P188+P189+P190</f>
        <v>6382.69</v>
      </c>
      <c r="Q187" s="552">
        <f>Q188+Q189+Q190</f>
        <v>6382.69</v>
      </c>
    </row>
    <row r="188" spans="2:18" ht="16.5" thickBot="1" x14ac:dyDescent="0.3">
      <c r="B188" s="1204"/>
      <c r="C188" s="1199"/>
      <c r="D188" s="1199"/>
      <c r="E188" s="1199"/>
      <c r="F188" s="1201"/>
      <c r="G188" s="1201"/>
      <c r="H188" s="1199"/>
      <c r="I188" s="1199"/>
      <c r="J188" s="1204"/>
      <c r="K188" s="1199"/>
      <c r="L188" s="1199"/>
      <c r="M188" s="636" t="s">
        <v>123</v>
      </c>
      <c r="N188" s="1249"/>
      <c r="O188" s="561">
        <v>0</v>
      </c>
      <c r="P188" s="562">
        <v>0</v>
      </c>
      <c r="Q188" s="550">
        <v>0</v>
      </c>
    </row>
    <row r="189" spans="2:18" ht="16.5" thickBot="1" x14ac:dyDescent="0.3">
      <c r="B189" s="1204"/>
      <c r="C189" s="1199"/>
      <c r="D189" s="1237"/>
      <c r="E189" s="1199"/>
      <c r="F189" s="1201"/>
      <c r="G189" s="1201"/>
      <c r="H189" s="1199"/>
      <c r="I189" s="1199"/>
      <c r="J189" s="1204"/>
      <c r="K189" s="1199"/>
      <c r="L189" s="1199"/>
      <c r="M189" s="672" t="s">
        <v>124</v>
      </c>
      <c r="N189" s="1250"/>
      <c r="O189" s="551">
        <v>6382.69</v>
      </c>
      <c r="P189" s="551">
        <v>6382.69</v>
      </c>
      <c r="Q189" s="552">
        <v>6382.69</v>
      </c>
      <c r="R189" s="745"/>
    </row>
    <row r="190" spans="2:18" ht="16.5" thickBot="1" x14ac:dyDescent="0.3">
      <c r="B190" s="1205"/>
      <c r="C190" s="1199"/>
      <c r="D190" s="672"/>
      <c r="E190" s="1199"/>
      <c r="F190" s="1202"/>
      <c r="G190" s="1202"/>
      <c r="H190" s="1208"/>
      <c r="I190" s="1208"/>
      <c r="J190" s="1205"/>
      <c r="K190" s="1208"/>
      <c r="L190" s="1208"/>
      <c r="M190" s="547" t="s">
        <v>745</v>
      </c>
      <c r="N190" s="681"/>
      <c r="O190" s="552">
        <v>0</v>
      </c>
      <c r="P190" s="552">
        <v>0</v>
      </c>
      <c r="Q190" s="552">
        <v>0</v>
      </c>
    </row>
    <row r="191" spans="2:18" ht="16.5" thickBot="1" x14ac:dyDescent="0.3">
      <c r="B191" s="1206" t="s">
        <v>64</v>
      </c>
      <c r="C191" s="1207">
        <v>67311</v>
      </c>
      <c r="D191" s="1207">
        <v>27301967</v>
      </c>
      <c r="E191" s="1207" t="s">
        <v>459</v>
      </c>
      <c r="F191" s="1200" t="s">
        <v>699</v>
      </c>
      <c r="G191" s="1200" t="s">
        <v>1061</v>
      </c>
      <c r="H191" s="1207" t="s">
        <v>244</v>
      </c>
      <c r="I191" s="1207">
        <v>42550</v>
      </c>
      <c r="J191" s="1207" t="s">
        <v>528</v>
      </c>
      <c r="K191" s="1207">
        <v>42550</v>
      </c>
      <c r="L191" s="1207">
        <v>42550</v>
      </c>
      <c r="M191" s="542" t="s">
        <v>122</v>
      </c>
      <c r="N191" s="1248">
        <v>6704.5638200000003</v>
      </c>
      <c r="O191" s="551">
        <f>O192+O193+O194</f>
        <v>3768.46</v>
      </c>
      <c r="P191" s="551">
        <f>P192+P193+P194</f>
        <v>3768.46</v>
      </c>
      <c r="Q191" s="552">
        <f>Q192+Q193+Q194</f>
        <v>3768.46</v>
      </c>
    </row>
    <row r="192" spans="2:18" ht="16.5" thickBot="1" x14ac:dyDescent="0.3">
      <c r="B192" s="1204"/>
      <c r="C192" s="1199"/>
      <c r="D192" s="1199"/>
      <c r="E192" s="1199"/>
      <c r="F192" s="1201"/>
      <c r="G192" s="1201"/>
      <c r="H192" s="1199"/>
      <c r="I192" s="1199"/>
      <c r="J192" s="1199"/>
      <c r="K192" s="1199"/>
      <c r="L192" s="1199"/>
      <c r="M192" s="636" t="s">
        <v>123</v>
      </c>
      <c r="N192" s="1249"/>
      <c r="O192" s="561">
        <v>0</v>
      </c>
      <c r="P192" s="562">
        <v>0</v>
      </c>
      <c r="Q192" s="550">
        <v>0</v>
      </c>
    </row>
    <row r="193" spans="2:21" ht="16.5" thickBot="1" x14ac:dyDescent="0.3">
      <c r="B193" s="1204"/>
      <c r="C193" s="1199"/>
      <c r="D193" s="1199"/>
      <c r="E193" s="1199"/>
      <c r="F193" s="1201"/>
      <c r="G193" s="1201"/>
      <c r="H193" s="1199"/>
      <c r="I193" s="1199"/>
      <c r="J193" s="1199"/>
      <c r="K193" s="1199"/>
      <c r="L193" s="1199"/>
      <c r="M193" s="672" t="s">
        <v>124</v>
      </c>
      <c r="N193" s="1250"/>
      <c r="O193" s="551">
        <v>3768.46</v>
      </c>
      <c r="P193" s="551">
        <v>3768.46</v>
      </c>
      <c r="Q193" s="552">
        <v>3768.46</v>
      </c>
      <c r="R193" s="745"/>
    </row>
    <row r="194" spans="2:21" ht="16.5" thickBot="1" x14ac:dyDescent="0.3">
      <c r="B194" s="1205"/>
      <c r="C194" s="1199"/>
      <c r="D194" s="674"/>
      <c r="E194" s="1208"/>
      <c r="F194" s="1202"/>
      <c r="G194" s="1202"/>
      <c r="H194" s="1208"/>
      <c r="I194" s="1208"/>
      <c r="J194" s="1199"/>
      <c r="K194" s="1208"/>
      <c r="L194" s="1208"/>
      <c r="M194" s="547" t="s">
        <v>745</v>
      </c>
      <c r="N194" s="681"/>
      <c r="O194" s="557">
        <v>0</v>
      </c>
      <c r="P194" s="676">
        <v>0</v>
      </c>
      <c r="Q194" s="563">
        <v>0</v>
      </c>
    </row>
    <row r="195" spans="2:21" ht="16.5" customHeight="1" thickBot="1" x14ac:dyDescent="0.3">
      <c r="B195" s="1206" t="s">
        <v>64</v>
      </c>
      <c r="C195" s="1207">
        <v>67311</v>
      </c>
      <c r="D195" s="1230"/>
      <c r="E195" s="1199" t="s">
        <v>460</v>
      </c>
      <c r="F195" s="1200" t="s">
        <v>699</v>
      </c>
      <c r="G195" s="1200" t="s">
        <v>1061</v>
      </c>
      <c r="H195" s="1207" t="s">
        <v>244</v>
      </c>
      <c r="I195" s="1207">
        <v>64308</v>
      </c>
      <c r="J195" s="1207" t="s">
        <v>528</v>
      </c>
      <c r="K195" s="1207">
        <v>64308</v>
      </c>
      <c r="L195" s="1207">
        <v>64308</v>
      </c>
      <c r="M195" s="542" t="s">
        <v>122</v>
      </c>
      <c r="N195" s="1248"/>
      <c r="O195" s="551">
        <f>O196+O197+O198</f>
        <v>6323.94</v>
      </c>
      <c r="P195" s="551">
        <f>P196+P197+P198</f>
        <v>6323.94</v>
      </c>
      <c r="Q195" s="552">
        <f>Q196+Q197+Q198</f>
        <v>6323.94</v>
      </c>
    </row>
    <row r="196" spans="2:21" ht="16.5" thickBot="1" x14ac:dyDescent="0.3">
      <c r="B196" s="1204"/>
      <c r="C196" s="1199"/>
      <c r="D196" s="1230"/>
      <c r="E196" s="1199"/>
      <c r="F196" s="1201"/>
      <c r="G196" s="1201"/>
      <c r="H196" s="1199"/>
      <c r="I196" s="1199"/>
      <c r="J196" s="1199"/>
      <c r="K196" s="1199"/>
      <c r="L196" s="1199"/>
      <c r="M196" s="636" t="s">
        <v>123</v>
      </c>
      <c r="N196" s="1249"/>
      <c r="O196" s="561">
        <v>0</v>
      </c>
      <c r="P196" s="562">
        <v>0</v>
      </c>
      <c r="Q196" s="550">
        <v>0</v>
      </c>
    </row>
    <row r="197" spans="2:21" ht="16.5" thickBot="1" x14ac:dyDescent="0.3">
      <c r="B197" s="1204"/>
      <c r="C197" s="1199"/>
      <c r="D197" s="1245"/>
      <c r="E197" s="1199"/>
      <c r="F197" s="1201"/>
      <c r="G197" s="1201"/>
      <c r="H197" s="1199"/>
      <c r="I197" s="1199"/>
      <c r="J197" s="1199"/>
      <c r="K197" s="1199"/>
      <c r="L197" s="1199"/>
      <c r="M197" s="672" t="s">
        <v>124</v>
      </c>
      <c r="N197" s="1250"/>
      <c r="O197" s="551">
        <v>6323.94</v>
      </c>
      <c r="P197" s="551">
        <v>6323.94</v>
      </c>
      <c r="Q197" s="552">
        <v>6323.94</v>
      </c>
      <c r="R197" s="745"/>
    </row>
    <row r="198" spans="2:21" ht="16.5" thickBot="1" x14ac:dyDescent="0.3">
      <c r="B198" s="1205"/>
      <c r="C198" s="1199"/>
      <c r="D198" s="674"/>
      <c r="E198" s="1208"/>
      <c r="F198" s="1202"/>
      <c r="G198" s="1202"/>
      <c r="H198" s="1208"/>
      <c r="I198" s="1208"/>
      <c r="J198" s="1199"/>
      <c r="K198" s="1208"/>
      <c r="L198" s="1208"/>
      <c r="M198" s="547" t="s">
        <v>745</v>
      </c>
      <c r="N198" s="681"/>
      <c r="O198" s="557">
        <v>0</v>
      </c>
      <c r="P198" s="676">
        <v>0</v>
      </c>
      <c r="Q198" s="563">
        <v>0</v>
      </c>
    </row>
    <row r="199" spans="2:21" ht="16.5" thickBot="1" x14ac:dyDescent="0.3">
      <c r="B199" s="1206" t="s">
        <v>64</v>
      </c>
      <c r="C199" s="1207">
        <v>67311</v>
      </c>
      <c r="D199" s="1230"/>
      <c r="E199" s="1199" t="s">
        <v>1001</v>
      </c>
      <c r="F199" s="1200" t="s">
        <v>699</v>
      </c>
      <c r="G199" s="1200" t="s">
        <v>1061</v>
      </c>
      <c r="H199" s="1207" t="s">
        <v>244</v>
      </c>
      <c r="I199" s="1207">
        <v>62400</v>
      </c>
      <c r="J199" s="1207" t="s">
        <v>528</v>
      </c>
      <c r="K199" s="1207">
        <v>62400</v>
      </c>
      <c r="L199" s="1207">
        <v>62400</v>
      </c>
      <c r="M199" s="542" t="s">
        <v>122</v>
      </c>
      <c r="N199" s="1248"/>
      <c r="O199" s="551">
        <f>O200+O201+O202</f>
        <v>1054.57</v>
      </c>
      <c r="P199" s="551">
        <f>P200+P201+P202</f>
        <v>1054.57</v>
      </c>
      <c r="Q199" s="552">
        <f>Q200+Q201+Q202</f>
        <v>1054.57</v>
      </c>
    </row>
    <row r="200" spans="2:21" ht="16.5" thickBot="1" x14ac:dyDescent="0.3">
      <c r="B200" s="1204"/>
      <c r="C200" s="1199"/>
      <c r="D200" s="1230"/>
      <c r="E200" s="1199"/>
      <c r="F200" s="1201"/>
      <c r="G200" s="1201"/>
      <c r="H200" s="1199"/>
      <c r="I200" s="1199"/>
      <c r="J200" s="1199"/>
      <c r="K200" s="1199"/>
      <c r="L200" s="1199"/>
      <c r="M200" s="636" t="s">
        <v>123</v>
      </c>
      <c r="N200" s="1249"/>
      <c r="O200" s="561">
        <v>0</v>
      </c>
      <c r="P200" s="562">
        <v>0</v>
      </c>
      <c r="Q200" s="550">
        <v>0</v>
      </c>
    </row>
    <row r="201" spans="2:21" ht="16.5" thickBot="1" x14ac:dyDescent="0.3">
      <c r="B201" s="1204"/>
      <c r="C201" s="1199"/>
      <c r="D201" s="1245"/>
      <c r="E201" s="1199"/>
      <c r="F201" s="1201"/>
      <c r="G201" s="1201"/>
      <c r="H201" s="1199"/>
      <c r="I201" s="1199"/>
      <c r="J201" s="1199"/>
      <c r="K201" s="1199"/>
      <c r="L201" s="1199"/>
      <c r="M201" s="672" t="s">
        <v>124</v>
      </c>
      <c r="N201" s="1250"/>
      <c r="O201" s="551">
        <v>1054.57</v>
      </c>
      <c r="P201" s="551">
        <v>1054.57</v>
      </c>
      <c r="Q201" s="552">
        <v>1054.57</v>
      </c>
      <c r="R201" s="783">
        <v>1054.57</v>
      </c>
      <c r="S201" s="783">
        <v>1054.57</v>
      </c>
      <c r="T201" s="783">
        <v>1054.57</v>
      </c>
      <c r="U201" s="783">
        <v>1054.57</v>
      </c>
    </row>
    <row r="202" spans="2:21" ht="16.5" thickBot="1" x14ac:dyDescent="0.3">
      <c r="B202" s="1205"/>
      <c r="C202" s="1199"/>
      <c r="D202" s="674"/>
      <c r="E202" s="1208"/>
      <c r="F202" s="1202"/>
      <c r="G202" s="1202"/>
      <c r="H202" s="1208"/>
      <c r="I202" s="1208"/>
      <c r="J202" s="1199"/>
      <c r="K202" s="1208"/>
      <c r="L202" s="1208"/>
      <c r="M202" s="547" t="s">
        <v>745</v>
      </c>
      <c r="N202" s="681"/>
      <c r="O202" s="557">
        <v>0</v>
      </c>
      <c r="P202" s="676">
        <v>0</v>
      </c>
      <c r="Q202" s="552">
        <v>0</v>
      </c>
    </row>
    <row r="203" spans="2:21" ht="16.5" thickBot="1" x14ac:dyDescent="0.3">
      <c r="B203" s="1206" t="s">
        <v>64</v>
      </c>
      <c r="C203" s="1207">
        <v>67311</v>
      </c>
      <c r="D203" s="1230"/>
      <c r="E203" s="1199" t="s">
        <v>1000</v>
      </c>
      <c r="F203" s="1200" t="s">
        <v>699</v>
      </c>
      <c r="G203" s="1200" t="s">
        <v>1061</v>
      </c>
      <c r="H203" s="1207" t="s">
        <v>244</v>
      </c>
      <c r="I203" s="1207">
        <v>6300</v>
      </c>
      <c r="J203" s="1207" t="s">
        <v>528</v>
      </c>
      <c r="K203" s="1207">
        <v>6300</v>
      </c>
      <c r="L203" s="1207">
        <v>6300</v>
      </c>
      <c r="M203" s="542" t="s">
        <v>122</v>
      </c>
      <c r="N203" s="1248"/>
      <c r="O203" s="551">
        <f>O204+O205+O206</f>
        <v>417.9</v>
      </c>
      <c r="P203" s="551">
        <f>P204+P205+P206</f>
        <v>417.9</v>
      </c>
      <c r="Q203" s="552">
        <f>Q204+Q205+Q206</f>
        <v>417.9</v>
      </c>
    </row>
    <row r="204" spans="2:21" ht="16.5" thickBot="1" x14ac:dyDescent="0.3">
      <c r="B204" s="1204"/>
      <c r="C204" s="1199"/>
      <c r="D204" s="1230"/>
      <c r="E204" s="1199"/>
      <c r="F204" s="1201"/>
      <c r="G204" s="1201"/>
      <c r="H204" s="1199"/>
      <c r="I204" s="1199"/>
      <c r="J204" s="1199"/>
      <c r="K204" s="1199"/>
      <c r="L204" s="1199"/>
      <c r="M204" s="636" t="s">
        <v>123</v>
      </c>
      <c r="N204" s="1249"/>
      <c r="O204" s="561">
        <v>0</v>
      </c>
      <c r="P204" s="562">
        <v>0</v>
      </c>
      <c r="Q204" s="562">
        <v>0</v>
      </c>
    </row>
    <row r="205" spans="2:21" ht="16.5" thickBot="1" x14ac:dyDescent="0.3">
      <c r="B205" s="1204"/>
      <c r="C205" s="1199"/>
      <c r="D205" s="1245"/>
      <c r="E205" s="1199"/>
      <c r="F205" s="1201"/>
      <c r="G205" s="1201"/>
      <c r="H205" s="1199"/>
      <c r="I205" s="1199"/>
      <c r="J205" s="1199"/>
      <c r="K205" s="1199"/>
      <c r="L205" s="1199"/>
      <c r="M205" s="672" t="s">
        <v>124</v>
      </c>
      <c r="N205" s="1250"/>
      <c r="O205" s="551">
        <v>417.9</v>
      </c>
      <c r="P205" s="551">
        <v>417.9</v>
      </c>
      <c r="Q205" s="552">
        <v>417.9</v>
      </c>
      <c r="R205" s="745"/>
    </row>
    <row r="206" spans="2:21" ht="16.5" thickBot="1" x14ac:dyDescent="0.3">
      <c r="B206" s="1205"/>
      <c r="C206" s="1199"/>
      <c r="D206" s="674"/>
      <c r="E206" s="1208"/>
      <c r="F206" s="1202"/>
      <c r="G206" s="1202"/>
      <c r="H206" s="1208"/>
      <c r="I206" s="1208"/>
      <c r="J206" s="1199"/>
      <c r="K206" s="1208"/>
      <c r="L206" s="1208"/>
      <c r="M206" s="547" t="s">
        <v>745</v>
      </c>
      <c r="N206" s="681"/>
      <c r="O206" s="557">
        <v>0</v>
      </c>
      <c r="P206" s="676">
        <v>0</v>
      </c>
      <c r="Q206" s="563">
        <v>0</v>
      </c>
    </row>
    <row r="207" spans="2:21" ht="16.5" thickBot="1" x14ac:dyDescent="0.3">
      <c r="B207" s="1206" t="s">
        <v>64</v>
      </c>
      <c r="C207" s="1207">
        <v>67311</v>
      </c>
      <c r="D207" s="704">
        <v>27300364</v>
      </c>
      <c r="E207" s="1207" t="s">
        <v>192</v>
      </c>
      <c r="F207" s="1200" t="s">
        <v>635</v>
      </c>
      <c r="G207" s="1207" t="s">
        <v>116</v>
      </c>
      <c r="H207" s="1207" t="s">
        <v>116</v>
      </c>
      <c r="I207" s="1207" t="s">
        <v>116</v>
      </c>
      <c r="J207" s="1207" t="s">
        <v>528</v>
      </c>
      <c r="K207" s="1207" t="s">
        <v>116</v>
      </c>
      <c r="L207" s="1207" t="s">
        <v>116</v>
      </c>
      <c r="M207" s="542" t="s">
        <v>122</v>
      </c>
      <c r="N207" s="1248"/>
      <c r="O207" s="551">
        <f>O208+O209+O210</f>
        <v>617.07000000000005</v>
      </c>
      <c r="P207" s="551">
        <f>P208+P209+P210</f>
        <v>2526.1</v>
      </c>
      <c r="Q207" s="552">
        <f>Q208+Q209+Q210</f>
        <v>4518.22</v>
      </c>
    </row>
    <row r="208" spans="2:21" ht="16.5" thickBot="1" x14ac:dyDescent="0.3">
      <c r="B208" s="1204"/>
      <c r="C208" s="1199"/>
      <c r="D208" s="674"/>
      <c r="E208" s="1199"/>
      <c r="F208" s="1201"/>
      <c r="G208" s="1199"/>
      <c r="H208" s="1199"/>
      <c r="I208" s="1199"/>
      <c r="J208" s="1199"/>
      <c r="K208" s="1199"/>
      <c r="L208" s="1199"/>
      <c r="M208" s="636" t="s">
        <v>123</v>
      </c>
      <c r="N208" s="1249"/>
      <c r="O208" s="561">
        <v>0</v>
      </c>
      <c r="P208" s="562">
        <v>0</v>
      </c>
      <c r="Q208" s="550">
        <v>0</v>
      </c>
    </row>
    <row r="209" spans="2:28" ht="16.5" thickBot="1" x14ac:dyDescent="0.3">
      <c r="B209" s="1204"/>
      <c r="C209" s="1199"/>
      <c r="D209" s="674"/>
      <c r="E209" s="1199"/>
      <c r="F209" s="1201"/>
      <c r="G209" s="1199"/>
      <c r="H209" s="1199"/>
      <c r="I209" s="1199"/>
      <c r="J209" s="1199"/>
      <c r="K209" s="1199"/>
      <c r="L209" s="1199"/>
      <c r="M209" s="672" t="s">
        <v>124</v>
      </c>
      <c r="N209" s="1250"/>
      <c r="O209" s="551">
        <v>617.07000000000005</v>
      </c>
      <c r="P209" s="552">
        <v>2526.1</v>
      </c>
      <c r="Q209" s="549">
        <v>4518.22</v>
      </c>
    </row>
    <row r="210" spans="2:28" ht="16.5" thickBot="1" x14ac:dyDescent="0.3">
      <c r="B210" s="1205"/>
      <c r="C210" s="1199"/>
      <c r="D210" s="674"/>
      <c r="E210" s="1208"/>
      <c r="F210" s="1202"/>
      <c r="G210" s="1208"/>
      <c r="H210" s="1208"/>
      <c r="I210" s="1208"/>
      <c r="J210" s="1199"/>
      <c r="K210" s="1208"/>
      <c r="L210" s="1208"/>
      <c r="M210" s="547" t="s">
        <v>745</v>
      </c>
      <c r="N210" s="681"/>
      <c r="O210" s="557">
        <v>0</v>
      </c>
      <c r="P210" s="676">
        <v>0</v>
      </c>
      <c r="Q210" s="563">
        <v>0</v>
      </c>
    </row>
    <row r="211" spans="2:28" ht="16.5" thickBot="1" x14ac:dyDescent="0.3">
      <c r="B211" s="1206" t="s">
        <v>64</v>
      </c>
      <c r="C211" s="1308">
        <v>67313</v>
      </c>
      <c r="D211" s="704" t="s">
        <v>116</v>
      </c>
      <c r="E211" s="1232" t="s">
        <v>116</v>
      </c>
      <c r="F211" s="1200" t="s">
        <v>700</v>
      </c>
      <c r="G211" s="1207" t="s">
        <v>701</v>
      </c>
      <c r="H211" s="1207" t="s">
        <v>244</v>
      </c>
      <c r="I211" s="1207">
        <f>I215+I219+I223+I227+I231+I235+I239+I243</f>
        <v>443127</v>
      </c>
      <c r="J211" s="1206" t="s">
        <v>528</v>
      </c>
      <c r="K211" s="1232">
        <f>K215+K219+K223+K227+K231+K235+K239+K243</f>
        <v>443127</v>
      </c>
      <c r="L211" s="1232">
        <f>L215+L219+L223+L227+L231+L235+L239+L243</f>
        <v>443127</v>
      </c>
      <c r="M211" s="542" t="s">
        <v>122</v>
      </c>
      <c r="N211" s="563" t="e">
        <f>N215+N247+N251+N255+N259+N263+N268+#REF!+N288+N296</f>
        <v>#REF!</v>
      </c>
      <c r="O211" s="681">
        <f>O212+O213</f>
        <v>66322.822000000015</v>
      </c>
      <c r="P211" s="552">
        <f>P212+P213</f>
        <v>68327.740000000005</v>
      </c>
      <c r="Q211" s="552">
        <f>Q212+Q213</f>
        <v>70427.740000000005</v>
      </c>
      <c r="R211" s="51">
        <f>66322821.44/1000</f>
        <v>66322.82144</v>
      </c>
      <c r="S211" s="51">
        <f>68327735.75/1000</f>
        <v>68327.735750000007</v>
      </c>
      <c r="T211" s="51">
        <f>70427735.75/1000</f>
        <v>70427.735750000007</v>
      </c>
      <c r="V211" s="51">
        <v>66322.820000000007</v>
      </c>
      <c r="W211" s="51">
        <v>68327.740000000005</v>
      </c>
      <c r="X211" s="51">
        <v>70427.740000000005</v>
      </c>
      <c r="Z211" s="776">
        <f>V211-O211</f>
        <v>-2.0000000076834112E-3</v>
      </c>
      <c r="AA211" s="776">
        <f>W211-P211</f>
        <v>0</v>
      </c>
      <c r="AB211" s="776">
        <f>X211-Q211</f>
        <v>0</v>
      </c>
    </row>
    <row r="212" spans="2:28" ht="16.5" thickBot="1" x14ac:dyDescent="0.3">
      <c r="B212" s="1204"/>
      <c r="C212" s="1259"/>
      <c r="D212" s="694"/>
      <c r="E212" s="1209"/>
      <c r="F212" s="1201"/>
      <c r="G212" s="1199"/>
      <c r="H212" s="1199"/>
      <c r="I212" s="1199"/>
      <c r="J212" s="1204"/>
      <c r="K212" s="1209"/>
      <c r="L212" s="1209"/>
      <c r="M212" s="636" t="s">
        <v>123</v>
      </c>
      <c r="N212" s="550"/>
      <c r="O212" s="681">
        <v>0</v>
      </c>
      <c r="P212" s="552">
        <f>P216+P248+P252+P256+P260+P264+P269+P285+P289+P297+P293</f>
        <v>0</v>
      </c>
      <c r="Q212" s="552">
        <f>Q216+Q248+Q252+Q256+Q260+Q264+Q269+Q285+Q289+Q297+Q293</f>
        <v>0</v>
      </c>
      <c r="R212" s="777">
        <f>R211-O211</f>
        <v>-5.6000001495704055E-4</v>
      </c>
      <c r="S212" s="777">
        <f>S211-P211</f>
        <v>-4.2499999981373549E-3</v>
      </c>
      <c r="T212" s="777">
        <f>T211-Q211</f>
        <v>-4.2499999981373549E-3</v>
      </c>
    </row>
    <row r="213" spans="2:28" ht="16.5" thickBot="1" x14ac:dyDescent="0.3">
      <c r="B213" s="1204"/>
      <c r="C213" s="1259"/>
      <c r="D213" s="694"/>
      <c r="E213" s="1209"/>
      <c r="F213" s="1201"/>
      <c r="G213" s="1199"/>
      <c r="H213" s="1199"/>
      <c r="I213" s="1199"/>
      <c r="J213" s="1204"/>
      <c r="K213" s="1209"/>
      <c r="L213" s="1209"/>
      <c r="M213" s="672" t="s">
        <v>124</v>
      </c>
      <c r="N213" s="550"/>
      <c r="O213" s="551">
        <f>O217+O221+O225+O229+O233+O237+O241+O245</f>
        <v>66322.822000000015</v>
      </c>
      <c r="P213" s="552">
        <f>P217+P221+P225+P229+P233+P237+P241+P245</f>
        <v>68327.740000000005</v>
      </c>
      <c r="Q213" s="549">
        <f>Q217+Q221+Q225+Q229+Q233+Q237+Q241+Q245</f>
        <v>70427.740000000005</v>
      </c>
    </row>
    <row r="214" spans="2:28" ht="16.5" thickBot="1" x14ac:dyDescent="0.3">
      <c r="B214" s="1204"/>
      <c r="C214" s="1259"/>
      <c r="D214" s="694"/>
      <c r="E214" s="1209"/>
      <c r="F214" s="1201"/>
      <c r="G214" s="1199"/>
      <c r="H214" s="1208"/>
      <c r="I214" s="1199"/>
      <c r="J214" s="1204"/>
      <c r="K214" s="1209"/>
      <c r="L214" s="1209"/>
      <c r="M214" s="671" t="s">
        <v>745</v>
      </c>
      <c r="N214" s="550"/>
      <c r="O214" s="681">
        <v>0</v>
      </c>
      <c r="P214" s="676">
        <f>P218+P250+P254+P258+P262+P266+P283+P287+P291+P299</f>
        <v>0</v>
      </c>
      <c r="Q214" s="676">
        <f>Q218+Q250+Q254+Q258+Q262+Q266+Q283+Q287+Q291+Q299</f>
        <v>0</v>
      </c>
    </row>
    <row r="215" spans="2:28" ht="16.5" thickBot="1" x14ac:dyDescent="0.3">
      <c r="B215" s="1206" t="s">
        <v>64</v>
      </c>
      <c r="C215" s="1215">
        <v>67313</v>
      </c>
      <c r="D215" s="704"/>
      <c r="E215" s="1207" t="s">
        <v>380</v>
      </c>
      <c r="F215" s="1200" t="s">
        <v>700</v>
      </c>
      <c r="G215" s="1200" t="s">
        <v>701</v>
      </c>
      <c r="H215" s="1207" t="s">
        <v>244</v>
      </c>
      <c r="I215" s="1207">
        <v>72543</v>
      </c>
      <c r="J215" s="1206" t="s">
        <v>528</v>
      </c>
      <c r="K215" s="1207">
        <v>72543</v>
      </c>
      <c r="L215" s="1207">
        <v>72543</v>
      </c>
      <c r="M215" s="542" t="s">
        <v>122</v>
      </c>
      <c r="N215" s="1248">
        <v>16658.537670000002</v>
      </c>
      <c r="O215" s="551">
        <f>O216+O217</f>
        <v>19724.45</v>
      </c>
      <c r="P215" s="551">
        <f>P216+P217</f>
        <v>19724.45</v>
      </c>
      <c r="Q215" s="552">
        <f>Q216+Q217</f>
        <v>19724.45</v>
      </c>
    </row>
    <row r="216" spans="2:28" ht="16.5" thickBot="1" x14ac:dyDescent="0.3">
      <c r="B216" s="1204"/>
      <c r="C216" s="1192"/>
      <c r="D216" s="674"/>
      <c r="E216" s="1199"/>
      <c r="F216" s="1201"/>
      <c r="G216" s="1201"/>
      <c r="H216" s="1199"/>
      <c r="I216" s="1199"/>
      <c r="J216" s="1204"/>
      <c r="K216" s="1199"/>
      <c r="L216" s="1199"/>
      <c r="M216" s="636" t="s">
        <v>123</v>
      </c>
      <c r="N216" s="1249"/>
      <c r="O216" s="551">
        <v>0</v>
      </c>
      <c r="P216" s="552">
        <v>0</v>
      </c>
      <c r="Q216" s="549">
        <v>0</v>
      </c>
    </row>
    <row r="217" spans="2:28" ht="16.5" thickBot="1" x14ac:dyDescent="0.3">
      <c r="B217" s="1204"/>
      <c r="C217" s="1192"/>
      <c r="D217" s="674"/>
      <c r="E217" s="1199"/>
      <c r="F217" s="1201"/>
      <c r="G217" s="1201"/>
      <c r="H217" s="1199"/>
      <c r="I217" s="1199"/>
      <c r="J217" s="1204"/>
      <c r="K217" s="1199"/>
      <c r="L217" s="1199"/>
      <c r="M217" s="672" t="s">
        <v>124</v>
      </c>
      <c r="N217" s="1250"/>
      <c r="O217" s="557">
        <v>19724.45</v>
      </c>
      <c r="P217" s="557">
        <v>19724.45</v>
      </c>
      <c r="Q217" s="552">
        <v>19724.45</v>
      </c>
    </row>
    <row r="218" spans="2:28" ht="16.5" thickBot="1" x14ac:dyDescent="0.3">
      <c r="B218" s="1205"/>
      <c r="C218" s="1216"/>
      <c r="D218" s="674"/>
      <c r="E218" s="1208"/>
      <c r="F218" s="1202"/>
      <c r="G218" s="1202"/>
      <c r="H218" s="1208"/>
      <c r="I218" s="1208"/>
      <c r="J218" s="1204"/>
      <c r="K218" s="1208"/>
      <c r="L218" s="1208"/>
      <c r="M218" s="547" t="s">
        <v>745</v>
      </c>
      <c r="N218" s="563"/>
      <c r="O218" s="557">
        <v>0</v>
      </c>
      <c r="P218" s="676">
        <v>0</v>
      </c>
      <c r="Q218" s="563">
        <v>0</v>
      </c>
    </row>
    <row r="219" spans="2:28" ht="16.5" thickBot="1" x14ac:dyDescent="0.3">
      <c r="B219" s="1206" t="s">
        <v>64</v>
      </c>
      <c r="C219" s="1215">
        <v>67313</v>
      </c>
      <c r="D219" s="704"/>
      <c r="E219" s="1207" t="s">
        <v>383</v>
      </c>
      <c r="F219" s="1200" t="s">
        <v>700</v>
      </c>
      <c r="G219" s="1200" t="s">
        <v>701</v>
      </c>
      <c r="H219" s="1207" t="s">
        <v>244</v>
      </c>
      <c r="I219" s="1207">
        <v>130012</v>
      </c>
      <c r="J219" s="1206" t="s">
        <v>528</v>
      </c>
      <c r="K219" s="1207">
        <v>130012</v>
      </c>
      <c r="L219" s="1207">
        <v>130012</v>
      </c>
      <c r="M219" s="542" t="s">
        <v>122</v>
      </c>
      <c r="N219" s="1248"/>
      <c r="O219" s="551">
        <f>O220+O221</f>
        <v>5484.85</v>
      </c>
      <c r="P219" s="551">
        <f>P220+P221</f>
        <v>5848.85</v>
      </c>
      <c r="Q219" s="552">
        <f>Q220+Q221</f>
        <v>5848.85</v>
      </c>
    </row>
    <row r="220" spans="2:28" ht="16.5" thickBot="1" x14ac:dyDescent="0.3">
      <c r="B220" s="1204"/>
      <c r="C220" s="1192"/>
      <c r="D220" s="674"/>
      <c r="E220" s="1199"/>
      <c r="F220" s="1201"/>
      <c r="G220" s="1201"/>
      <c r="H220" s="1199"/>
      <c r="I220" s="1199"/>
      <c r="J220" s="1204"/>
      <c r="K220" s="1199"/>
      <c r="L220" s="1199"/>
      <c r="M220" s="636" t="s">
        <v>123</v>
      </c>
      <c r="N220" s="1249"/>
      <c r="O220" s="551">
        <v>0</v>
      </c>
      <c r="P220" s="552">
        <v>0</v>
      </c>
      <c r="Q220" s="549">
        <v>0</v>
      </c>
    </row>
    <row r="221" spans="2:28" ht="16.5" thickBot="1" x14ac:dyDescent="0.3">
      <c r="B221" s="1204"/>
      <c r="C221" s="1192"/>
      <c r="D221" s="674"/>
      <c r="E221" s="1199"/>
      <c r="F221" s="1201"/>
      <c r="G221" s="1201"/>
      <c r="H221" s="1199"/>
      <c r="I221" s="1199"/>
      <c r="J221" s="1204"/>
      <c r="K221" s="1199"/>
      <c r="L221" s="1199"/>
      <c r="M221" s="672" t="s">
        <v>124</v>
      </c>
      <c r="N221" s="1250"/>
      <c r="O221" s="557">
        <v>5484.85</v>
      </c>
      <c r="P221" s="676">
        <v>5848.85</v>
      </c>
      <c r="Q221" s="563">
        <v>5848.85</v>
      </c>
    </row>
    <row r="222" spans="2:28" ht="16.5" thickBot="1" x14ac:dyDescent="0.3">
      <c r="B222" s="1205"/>
      <c r="C222" s="1216"/>
      <c r="D222" s="674"/>
      <c r="E222" s="1208"/>
      <c r="F222" s="1202"/>
      <c r="G222" s="1202"/>
      <c r="H222" s="1208"/>
      <c r="I222" s="1208"/>
      <c r="J222" s="1204"/>
      <c r="K222" s="1208"/>
      <c r="L222" s="1208"/>
      <c r="M222" s="547" t="s">
        <v>745</v>
      </c>
      <c r="N222" s="681"/>
      <c r="O222" s="557">
        <v>0</v>
      </c>
      <c r="P222" s="676">
        <v>0</v>
      </c>
      <c r="Q222" s="563">
        <v>0</v>
      </c>
    </row>
    <row r="223" spans="2:28" ht="16.5" thickBot="1" x14ac:dyDescent="0.3">
      <c r="B223" s="1206" t="s">
        <v>64</v>
      </c>
      <c r="C223" s="1215">
        <v>67313</v>
      </c>
      <c r="D223" s="704"/>
      <c r="E223" s="1207" t="s">
        <v>628</v>
      </c>
      <c r="F223" s="1200" t="s">
        <v>700</v>
      </c>
      <c r="G223" s="1200" t="s">
        <v>701</v>
      </c>
      <c r="H223" s="1207" t="s">
        <v>244</v>
      </c>
      <c r="I223" s="1207">
        <v>50916</v>
      </c>
      <c r="J223" s="1206" t="s">
        <v>528</v>
      </c>
      <c r="K223" s="1207">
        <v>50916</v>
      </c>
      <c r="L223" s="1207">
        <v>50916</v>
      </c>
      <c r="M223" s="542" t="s">
        <v>122</v>
      </c>
      <c r="N223" s="1248"/>
      <c r="O223" s="551">
        <f>O224+O225</f>
        <v>6860.68</v>
      </c>
      <c r="P223" s="551">
        <f>P224+P225</f>
        <v>6860.68</v>
      </c>
      <c r="Q223" s="552">
        <f>Q224+Q225</f>
        <v>6860.68</v>
      </c>
    </row>
    <row r="224" spans="2:28" ht="16.5" thickBot="1" x14ac:dyDescent="0.3">
      <c r="B224" s="1204"/>
      <c r="C224" s="1192"/>
      <c r="D224" s="674"/>
      <c r="E224" s="1199"/>
      <c r="F224" s="1201"/>
      <c r="G224" s="1201"/>
      <c r="H224" s="1199"/>
      <c r="I224" s="1199"/>
      <c r="J224" s="1204"/>
      <c r="K224" s="1199"/>
      <c r="L224" s="1199"/>
      <c r="M224" s="636" t="s">
        <v>123</v>
      </c>
      <c r="N224" s="1249"/>
      <c r="O224" s="551">
        <v>0</v>
      </c>
      <c r="P224" s="552">
        <v>0</v>
      </c>
      <c r="Q224" s="549">
        <v>0</v>
      </c>
    </row>
    <row r="225" spans="2:17" ht="16.5" thickBot="1" x14ac:dyDescent="0.3">
      <c r="B225" s="1204"/>
      <c r="C225" s="1192"/>
      <c r="D225" s="674"/>
      <c r="E225" s="1199"/>
      <c r="F225" s="1201"/>
      <c r="G225" s="1201"/>
      <c r="H225" s="1199"/>
      <c r="I225" s="1199"/>
      <c r="J225" s="1204"/>
      <c r="K225" s="1199"/>
      <c r="L225" s="1199"/>
      <c r="M225" s="672" t="s">
        <v>124</v>
      </c>
      <c r="N225" s="1250"/>
      <c r="O225" s="557">
        <v>6860.68</v>
      </c>
      <c r="P225" s="676">
        <v>6860.68</v>
      </c>
      <c r="Q225" s="563">
        <v>6860.68</v>
      </c>
    </row>
    <row r="226" spans="2:17" ht="16.5" thickBot="1" x14ac:dyDescent="0.3">
      <c r="B226" s="1205"/>
      <c r="C226" s="1216"/>
      <c r="D226" s="674"/>
      <c r="E226" s="1208"/>
      <c r="F226" s="1202"/>
      <c r="G226" s="1202"/>
      <c r="H226" s="1208"/>
      <c r="I226" s="1208"/>
      <c r="J226" s="1204"/>
      <c r="K226" s="1208"/>
      <c r="L226" s="1208"/>
      <c r="M226" s="547" t="s">
        <v>745</v>
      </c>
      <c r="N226" s="681"/>
      <c r="O226" s="557">
        <v>0</v>
      </c>
      <c r="P226" s="676">
        <v>0</v>
      </c>
      <c r="Q226" s="563">
        <v>0</v>
      </c>
    </row>
    <row r="227" spans="2:17" ht="16.5" thickBot="1" x14ac:dyDescent="0.3">
      <c r="B227" s="1206" t="s">
        <v>64</v>
      </c>
      <c r="C227" s="1215">
        <v>67313</v>
      </c>
      <c r="D227" s="704"/>
      <c r="E227" s="1207" t="s">
        <v>201</v>
      </c>
      <c r="F227" s="1200" t="s">
        <v>700</v>
      </c>
      <c r="G227" s="1200" t="s">
        <v>701</v>
      </c>
      <c r="H227" s="1207" t="s">
        <v>244</v>
      </c>
      <c r="I227" s="1207">
        <v>25872</v>
      </c>
      <c r="J227" s="1206" t="s">
        <v>528</v>
      </c>
      <c r="K227" s="1207">
        <v>25872</v>
      </c>
      <c r="L227" s="1207">
        <v>25872</v>
      </c>
      <c r="M227" s="542" t="s">
        <v>122</v>
      </c>
      <c r="N227" s="1248"/>
      <c r="O227" s="551">
        <f>O228+O229</f>
        <v>4965.0990000000002</v>
      </c>
      <c r="P227" s="551">
        <f>P228+P229</f>
        <v>4965.1000000000004</v>
      </c>
      <c r="Q227" s="552">
        <f>Q228+Q229</f>
        <v>4965.1000000000004</v>
      </c>
    </row>
    <row r="228" spans="2:17" ht="16.5" thickBot="1" x14ac:dyDescent="0.3">
      <c r="B228" s="1204"/>
      <c r="C228" s="1192"/>
      <c r="D228" s="674"/>
      <c r="E228" s="1199"/>
      <c r="F228" s="1201"/>
      <c r="G228" s="1201"/>
      <c r="H228" s="1199"/>
      <c r="I228" s="1199"/>
      <c r="J228" s="1204"/>
      <c r="K228" s="1199"/>
      <c r="L228" s="1199"/>
      <c r="M228" s="636" t="s">
        <v>123</v>
      </c>
      <c r="N228" s="1249"/>
      <c r="O228" s="551">
        <v>0</v>
      </c>
      <c r="P228" s="552">
        <v>0</v>
      </c>
      <c r="Q228" s="552">
        <v>0</v>
      </c>
    </row>
    <row r="229" spans="2:17" ht="16.5" thickBot="1" x14ac:dyDescent="0.3">
      <c r="B229" s="1204"/>
      <c r="C229" s="1192"/>
      <c r="D229" s="674"/>
      <c r="E229" s="1199"/>
      <c r="F229" s="1201"/>
      <c r="G229" s="1201"/>
      <c r="H229" s="1199"/>
      <c r="I229" s="1199"/>
      <c r="J229" s="1204"/>
      <c r="K229" s="1199"/>
      <c r="L229" s="1199"/>
      <c r="M229" s="672" t="s">
        <v>124</v>
      </c>
      <c r="N229" s="1250"/>
      <c r="O229" s="557">
        <v>4965.0990000000002</v>
      </c>
      <c r="P229" s="557">
        <v>4965.1000000000004</v>
      </c>
      <c r="Q229" s="552">
        <v>4965.1000000000004</v>
      </c>
    </row>
    <row r="230" spans="2:17" ht="16.5" thickBot="1" x14ac:dyDescent="0.3">
      <c r="B230" s="1205"/>
      <c r="C230" s="1216"/>
      <c r="D230" s="674"/>
      <c r="E230" s="1208"/>
      <c r="F230" s="1202"/>
      <c r="G230" s="1202"/>
      <c r="H230" s="1208"/>
      <c r="I230" s="1208"/>
      <c r="J230" s="1204"/>
      <c r="K230" s="1208"/>
      <c r="L230" s="1208"/>
      <c r="M230" s="547" t="s">
        <v>745</v>
      </c>
      <c r="N230" s="681"/>
      <c r="O230" s="557">
        <v>0</v>
      </c>
      <c r="P230" s="676">
        <v>0</v>
      </c>
      <c r="Q230" s="676">
        <v>0</v>
      </c>
    </row>
    <row r="231" spans="2:17" ht="16.5" thickBot="1" x14ac:dyDescent="0.3">
      <c r="B231" s="1206" t="s">
        <v>64</v>
      </c>
      <c r="C231" s="1215">
        <v>67313</v>
      </c>
      <c r="D231" s="704"/>
      <c r="E231" s="1207" t="s">
        <v>458</v>
      </c>
      <c r="F231" s="1200" t="s">
        <v>700</v>
      </c>
      <c r="G231" s="1200" t="s">
        <v>701</v>
      </c>
      <c r="H231" s="1207" t="s">
        <v>244</v>
      </c>
      <c r="I231" s="1207">
        <v>83893</v>
      </c>
      <c r="J231" s="1206" t="s">
        <v>528</v>
      </c>
      <c r="K231" s="1207">
        <v>83893</v>
      </c>
      <c r="L231" s="1207">
        <v>83893</v>
      </c>
      <c r="M231" s="542" t="s">
        <v>122</v>
      </c>
      <c r="N231" s="1248"/>
      <c r="O231" s="551">
        <f>O232+O233</f>
        <v>8656.51</v>
      </c>
      <c r="P231" s="551">
        <f>P232+P233</f>
        <v>8656.51</v>
      </c>
      <c r="Q231" s="552">
        <f>Q232+Q233</f>
        <v>8656.51</v>
      </c>
    </row>
    <row r="232" spans="2:17" ht="16.5" thickBot="1" x14ac:dyDescent="0.3">
      <c r="B232" s="1204"/>
      <c r="C232" s="1192"/>
      <c r="D232" s="674"/>
      <c r="E232" s="1199"/>
      <c r="F232" s="1201"/>
      <c r="G232" s="1201"/>
      <c r="H232" s="1199"/>
      <c r="I232" s="1199"/>
      <c r="J232" s="1204"/>
      <c r="K232" s="1199"/>
      <c r="L232" s="1199"/>
      <c r="M232" s="636" t="s">
        <v>123</v>
      </c>
      <c r="N232" s="1249"/>
      <c r="O232" s="551">
        <v>0</v>
      </c>
      <c r="P232" s="552">
        <v>0</v>
      </c>
      <c r="Q232" s="549">
        <v>0</v>
      </c>
    </row>
    <row r="233" spans="2:17" ht="16.5" thickBot="1" x14ac:dyDescent="0.3">
      <c r="B233" s="1204"/>
      <c r="C233" s="1192"/>
      <c r="D233" s="674"/>
      <c r="E233" s="1199"/>
      <c r="F233" s="1201"/>
      <c r="G233" s="1201"/>
      <c r="H233" s="1199"/>
      <c r="I233" s="1199"/>
      <c r="J233" s="1204"/>
      <c r="K233" s="1199"/>
      <c r="L233" s="1199"/>
      <c r="M233" s="672" t="s">
        <v>124</v>
      </c>
      <c r="N233" s="1250"/>
      <c r="O233" s="557">
        <v>8656.51</v>
      </c>
      <c r="P233" s="557">
        <v>8656.51</v>
      </c>
      <c r="Q233" s="676">
        <v>8656.51</v>
      </c>
    </row>
    <row r="234" spans="2:17" ht="16.5" thickBot="1" x14ac:dyDescent="0.3">
      <c r="B234" s="1205"/>
      <c r="C234" s="1216"/>
      <c r="D234" s="674"/>
      <c r="E234" s="1208"/>
      <c r="F234" s="1202"/>
      <c r="G234" s="1202"/>
      <c r="H234" s="1208"/>
      <c r="I234" s="1208"/>
      <c r="J234" s="1204"/>
      <c r="K234" s="1208"/>
      <c r="L234" s="1208"/>
      <c r="M234" s="547" t="s">
        <v>745</v>
      </c>
      <c r="N234" s="681"/>
      <c r="O234" s="557">
        <v>0</v>
      </c>
      <c r="P234" s="676">
        <v>0</v>
      </c>
      <c r="Q234" s="563">
        <v>0</v>
      </c>
    </row>
    <row r="235" spans="2:17" ht="16.5" thickBot="1" x14ac:dyDescent="0.3">
      <c r="B235" s="1206" t="s">
        <v>64</v>
      </c>
      <c r="C235" s="1215">
        <v>67313</v>
      </c>
      <c r="D235" s="704"/>
      <c r="E235" s="1207" t="s">
        <v>459</v>
      </c>
      <c r="F235" s="1200" t="s">
        <v>700</v>
      </c>
      <c r="G235" s="1200" t="s">
        <v>701</v>
      </c>
      <c r="H235" s="1207" t="s">
        <v>244</v>
      </c>
      <c r="I235" s="1207">
        <v>24128</v>
      </c>
      <c r="J235" s="1206" t="s">
        <v>528</v>
      </c>
      <c r="K235" s="1207">
        <v>24128</v>
      </c>
      <c r="L235" s="1207">
        <v>24128</v>
      </c>
      <c r="M235" s="542" t="s">
        <v>122</v>
      </c>
      <c r="N235" s="1248"/>
      <c r="O235" s="551">
        <f>O236+O237</f>
        <v>3851.31</v>
      </c>
      <c r="P235" s="551">
        <f>P236+P237</f>
        <v>3851.31</v>
      </c>
      <c r="Q235" s="552">
        <f>Q236+Q237</f>
        <v>3851.31</v>
      </c>
    </row>
    <row r="236" spans="2:17" ht="16.5" thickBot="1" x14ac:dyDescent="0.3">
      <c r="B236" s="1204"/>
      <c r="C236" s="1192"/>
      <c r="D236" s="674"/>
      <c r="E236" s="1199"/>
      <c r="F236" s="1201"/>
      <c r="G236" s="1201"/>
      <c r="H236" s="1199"/>
      <c r="I236" s="1199"/>
      <c r="J236" s="1204"/>
      <c r="K236" s="1199"/>
      <c r="L236" s="1199"/>
      <c r="M236" s="636" t="s">
        <v>123</v>
      </c>
      <c r="N236" s="1249"/>
      <c r="O236" s="551">
        <v>0</v>
      </c>
      <c r="P236" s="552">
        <v>0</v>
      </c>
      <c r="Q236" s="549">
        <v>0</v>
      </c>
    </row>
    <row r="237" spans="2:17" ht="16.5" thickBot="1" x14ac:dyDescent="0.3">
      <c r="B237" s="1204"/>
      <c r="C237" s="1192"/>
      <c r="D237" s="674"/>
      <c r="E237" s="1199"/>
      <c r="F237" s="1201"/>
      <c r="G237" s="1201"/>
      <c r="H237" s="1199"/>
      <c r="I237" s="1199"/>
      <c r="J237" s="1204"/>
      <c r="K237" s="1199"/>
      <c r="L237" s="1199"/>
      <c r="M237" s="672" t="s">
        <v>124</v>
      </c>
      <c r="N237" s="1250"/>
      <c r="O237" s="557">
        <v>3851.31</v>
      </c>
      <c r="P237" s="557">
        <v>3851.31</v>
      </c>
      <c r="Q237" s="552">
        <v>3851.31</v>
      </c>
    </row>
    <row r="238" spans="2:17" ht="16.5" thickBot="1" x14ac:dyDescent="0.3">
      <c r="B238" s="1205"/>
      <c r="C238" s="1216"/>
      <c r="D238" s="674"/>
      <c r="E238" s="1208"/>
      <c r="F238" s="1202"/>
      <c r="G238" s="1202"/>
      <c r="H238" s="1208"/>
      <c r="I238" s="1208"/>
      <c r="J238" s="1205"/>
      <c r="K238" s="1208"/>
      <c r="L238" s="1208"/>
      <c r="M238" s="547" t="s">
        <v>745</v>
      </c>
      <c r="N238" s="681"/>
      <c r="O238" s="557">
        <v>0</v>
      </c>
      <c r="P238" s="676">
        <v>0</v>
      </c>
      <c r="Q238" s="563">
        <v>0</v>
      </c>
    </row>
    <row r="239" spans="2:17" ht="16.5" thickBot="1" x14ac:dyDescent="0.3">
      <c r="B239" s="1206" t="s">
        <v>64</v>
      </c>
      <c r="C239" s="1215">
        <v>67313</v>
      </c>
      <c r="D239" s="704"/>
      <c r="E239" s="1207" t="s">
        <v>933</v>
      </c>
      <c r="F239" s="1200" t="s">
        <v>700</v>
      </c>
      <c r="G239" s="1200" t="s">
        <v>702</v>
      </c>
      <c r="H239" s="1207" t="s">
        <v>244</v>
      </c>
      <c r="I239" s="1207">
        <v>51346</v>
      </c>
      <c r="J239" s="1206" t="s">
        <v>528</v>
      </c>
      <c r="K239" s="1207">
        <v>51346</v>
      </c>
      <c r="L239" s="1207">
        <v>51346</v>
      </c>
      <c r="M239" s="542" t="s">
        <v>122</v>
      </c>
      <c r="N239" s="1248"/>
      <c r="O239" s="551">
        <f>O240+O241+O242</f>
        <v>10985.565000000001</v>
      </c>
      <c r="P239" s="551">
        <f>P240+P241+P242</f>
        <v>10985.57</v>
      </c>
      <c r="Q239" s="552">
        <f>Q240+Q241+Q242</f>
        <v>10985.57</v>
      </c>
    </row>
    <row r="240" spans="2:17" ht="16.5" thickBot="1" x14ac:dyDescent="0.3">
      <c r="B240" s="1204"/>
      <c r="C240" s="1192"/>
      <c r="D240" s="674"/>
      <c r="E240" s="1199"/>
      <c r="F240" s="1201"/>
      <c r="G240" s="1201"/>
      <c r="H240" s="1199"/>
      <c r="I240" s="1199"/>
      <c r="J240" s="1204"/>
      <c r="K240" s="1199"/>
      <c r="L240" s="1199"/>
      <c r="M240" s="636" t="s">
        <v>123</v>
      </c>
      <c r="N240" s="1249"/>
      <c r="O240" s="561">
        <v>0</v>
      </c>
      <c r="P240" s="562">
        <v>0</v>
      </c>
      <c r="Q240" s="550">
        <v>0</v>
      </c>
    </row>
    <row r="241" spans="2:29" ht="16.5" thickBot="1" x14ac:dyDescent="0.3">
      <c r="B241" s="1204"/>
      <c r="C241" s="1192"/>
      <c r="D241" s="674"/>
      <c r="E241" s="1199"/>
      <c r="F241" s="1201"/>
      <c r="G241" s="1201"/>
      <c r="H241" s="1199"/>
      <c r="I241" s="1199"/>
      <c r="J241" s="1204"/>
      <c r="K241" s="1199"/>
      <c r="L241" s="1199"/>
      <c r="M241" s="672" t="s">
        <v>124</v>
      </c>
      <c r="N241" s="1250"/>
      <c r="O241" s="551">
        <v>10985.565000000001</v>
      </c>
      <c r="P241" s="551">
        <v>10985.57</v>
      </c>
      <c r="Q241" s="552">
        <v>10985.57</v>
      </c>
    </row>
    <row r="242" spans="2:29" ht="16.5" thickBot="1" x14ac:dyDescent="0.3">
      <c r="B242" s="1205"/>
      <c r="C242" s="1216"/>
      <c r="D242" s="674"/>
      <c r="E242" s="1208"/>
      <c r="F242" s="1202"/>
      <c r="G242" s="1202"/>
      <c r="H242" s="1208"/>
      <c r="I242" s="1208"/>
      <c r="J242" s="1205"/>
      <c r="K242" s="1208"/>
      <c r="L242" s="1208"/>
      <c r="M242" s="547" t="s">
        <v>745</v>
      </c>
      <c r="N242" s="681"/>
      <c r="O242" s="557">
        <v>0</v>
      </c>
      <c r="P242" s="676">
        <v>0</v>
      </c>
      <c r="Q242" s="563">
        <v>0</v>
      </c>
    </row>
    <row r="243" spans="2:29" ht="16.5" thickBot="1" x14ac:dyDescent="0.3">
      <c r="B243" s="1206" t="s">
        <v>64</v>
      </c>
      <c r="C243" s="1207">
        <v>67313</v>
      </c>
      <c r="D243" s="704">
        <v>27300364</v>
      </c>
      <c r="E243" s="1207" t="s">
        <v>192</v>
      </c>
      <c r="F243" s="1200" t="s">
        <v>635</v>
      </c>
      <c r="G243" s="1200" t="s">
        <v>702</v>
      </c>
      <c r="H243" s="1207" t="s">
        <v>244</v>
      </c>
      <c r="I243" s="1207">
        <v>4417</v>
      </c>
      <c r="J243" s="1207" t="s">
        <v>528</v>
      </c>
      <c r="K243" s="1207">
        <v>4417</v>
      </c>
      <c r="L243" s="1207">
        <v>4417</v>
      </c>
      <c r="M243" s="542" t="s">
        <v>122</v>
      </c>
      <c r="N243" s="1248"/>
      <c r="O243" s="551">
        <f>O244+O245</f>
        <v>5794.3580000000002</v>
      </c>
      <c r="P243" s="551">
        <f>P244+P245</f>
        <v>7435.27</v>
      </c>
      <c r="Q243" s="552">
        <f>Q244+Q245</f>
        <v>9535.27</v>
      </c>
    </row>
    <row r="244" spans="2:29" ht="16.5" thickBot="1" x14ac:dyDescent="0.3">
      <c r="B244" s="1204"/>
      <c r="C244" s="1199"/>
      <c r="D244" s="674"/>
      <c r="E244" s="1199"/>
      <c r="F244" s="1201"/>
      <c r="G244" s="1201"/>
      <c r="H244" s="1199"/>
      <c r="I244" s="1199"/>
      <c r="J244" s="1199"/>
      <c r="K244" s="1199"/>
      <c r="L244" s="1199"/>
      <c r="M244" s="636" t="s">
        <v>123</v>
      </c>
      <c r="N244" s="1249"/>
      <c r="O244" s="551">
        <v>0</v>
      </c>
      <c r="P244" s="552">
        <v>0</v>
      </c>
      <c r="Q244" s="549">
        <v>0</v>
      </c>
    </row>
    <row r="245" spans="2:29" ht="16.5" thickBot="1" x14ac:dyDescent="0.3">
      <c r="B245" s="1204"/>
      <c r="C245" s="1199"/>
      <c r="D245" s="674"/>
      <c r="E245" s="1199"/>
      <c r="F245" s="1201"/>
      <c r="G245" s="1201"/>
      <c r="H245" s="1199"/>
      <c r="I245" s="1199"/>
      <c r="J245" s="1199"/>
      <c r="K245" s="1199"/>
      <c r="L245" s="1199"/>
      <c r="M245" s="672" t="s">
        <v>124</v>
      </c>
      <c r="N245" s="1250"/>
      <c r="O245" s="557">
        <v>5794.3580000000002</v>
      </c>
      <c r="P245" s="676">
        <v>7435.27</v>
      </c>
      <c r="Q245" s="563">
        <v>9535.27</v>
      </c>
    </row>
    <row r="246" spans="2:29" ht="16.5" thickBot="1" x14ac:dyDescent="0.3">
      <c r="B246" s="1205"/>
      <c r="C246" s="1199"/>
      <c r="D246" s="674"/>
      <c r="E246" s="1208"/>
      <c r="F246" s="1202"/>
      <c r="G246" s="1202"/>
      <c r="H246" s="1208"/>
      <c r="I246" s="1208"/>
      <c r="J246" s="1199"/>
      <c r="K246" s="1208"/>
      <c r="L246" s="1208"/>
      <c r="M246" s="547" t="s">
        <v>745</v>
      </c>
      <c r="N246" s="681"/>
      <c r="O246" s="557">
        <v>0</v>
      </c>
      <c r="P246" s="676">
        <v>0</v>
      </c>
      <c r="Q246" s="563">
        <v>0</v>
      </c>
    </row>
    <row r="247" spans="2:29" ht="16.5" thickBot="1" x14ac:dyDescent="0.3">
      <c r="B247" s="1206" t="s">
        <v>64</v>
      </c>
      <c r="C247" s="1207">
        <v>67321</v>
      </c>
      <c r="D247" s="673" t="s">
        <v>116</v>
      </c>
      <c r="E247" s="1207" t="s">
        <v>116</v>
      </c>
      <c r="F247" s="1200" t="s">
        <v>1051</v>
      </c>
      <c r="G247" s="1207" t="s">
        <v>116</v>
      </c>
      <c r="H247" s="1232" t="s">
        <v>116</v>
      </c>
      <c r="I247" s="1207" t="s">
        <v>116</v>
      </c>
      <c r="J247" s="1206" t="s">
        <v>528</v>
      </c>
      <c r="K247" s="1207" t="s">
        <v>116</v>
      </c>
      <c r="L247" s="1207" t="s">
        <v>116</v>
      </c>
      <c r="M247" s="542" t="s">
        <v>122</v>
      </c>
      <c r="N247" s="543"/>
      <c r="O247" s="544">
        <f>O248+O249</f>
        <v>207603.25199999998</v>
      </c>
      <c r="P247" s="544">
        <f>P248+P249</f>
        <v>94336.25</v>
      </c>
      <c r="Q247" s="675">
        <f>Q248+Q249</f>
        <v>63893.07</v>
      </c>
      <c r="R247" s="51">
        <f>207603245/1000</f>
        <v>207603.245</v>
      </c>
      <c r="S247" s="51">
        <f>94336249/1000</f>
        <v>94336.248999999996</v>
      </c>
      <c r="T247" s="51">
        <f>63893070/1000</f>
        <v>63893.07</v>
      </c>
      <c r="V247" s="51">
        <v>207603.25</v>
      </c>
      <c r="W247" s="51">
        <v>94336.25</v>
      </c>
      <c r="X247" s="51">
        <v>63893.07</v>
      </c>
      <c r="Z247" s="776">
        <f>V247-O247</f>
        <v>-1.9999999785795808E-3</v>
      </c>
      <c r="AA247" s="776">
        <f>W247-P247</f>
        <v>0</v>
      </c>
      <c r="AB247" s="776">
        <f>X247-Q247</f>
        <v>0</v>
      </c>
    </row>
    <row r="248" spans="2:29" ht="16.5" thickBot="1" x14ac:dyDescent="0.3">
      <c r="B248" s="1204"/>
      <c r="C248" s="1199"/>
      <c r="D248" s="654"/>
      <c r="E248" s="1199"/>
      <c r="F248" s="1201"/>
      <c r="G248" s="1199"/>
      <c r="H248" s="1209"/>
      <c r="I248" s="1199"/>
      <c r="J248" s="1204"/>
      <c r="K248" s="1199"/>
      <c r="L248" s="1199"/>
      <c r="M248" s="636" t="s">
        <v>123</v>
      </c>
      <c r="N248" s="549"/>
      <c r="O248" s="544">
        <f>O252+O256+O260+O264+O268+O272+O276+O280+O284+O288+O292+O296+O300+O304+O308+O312+O316+O320+O324+O328+O332+O336+O340+O344+O348+O352+O356+O360</f>
        <v>0</v>
      </c>
      <c r="P248" s="544">
        <f t="shared" ref="P248:Q250" si="4">P252+P256+P260+P264+P268+P272+P276+P280+P284+P288+P292+P296+P300+P304+P308+P312+P316+P320+P324+P328+P332+P336+P340+P344+P348+P352+P356+P360</f>
        <v>0</v>
      </c>
      <c r="Q248" s="675">
        <f t="shared" si="4"/>
        <v>0</v>
      </c>
      <c r="R248" s="51">
        <f>R247-O247</f>
        <v>-6.9999999832361937E-3</v>
      </c>
      <c r="S248" s="51">
        <f>S247-P247</f>
        <v>-1.0000000038417056E-3</v>
      </c>
      <c r="T248" s="51">
        <f>T247-Q247</f>
        <v>0</v>
      </c>
    </row>
    <row r="249" spans="2:29" ht="16.5" thickBot="1" x14ac:dyDescent="0.3">
      <c r="B249" s="1204"/>
      <c r="C249" s="1199"/>
      <c r="D249" s="555"/>
      <c r="E249" s="1199"/>
      <c r="F249" s="1201"/>
      <c r="G249" s="1199"/>
      <c r="H249" s="1209"/>
      <c r="I249" s="1199"/>
      <c r="J249" s="1204"/>
      <c r="K249" s="1199"/>
      <c r="L249" s="1199"/>
      <c r="M249" s="672" t="s">
        <v>124</v>
      </c>
      <c r="N249" s="550"/>
      <c r="O249" s="544">
        <f>O253+O257+O261+O265+O269+O273+O277+O281+O285+O289+O293+O297+O301+O305+O309+O313+O317+O321+O325+O329+O333+O337+O341+O345+O349+O353+O357+O361</f>
        <v>207603.25199999998</v>
      </c>
      <c r="P249" s="544">
        <f t="shared" si="4"/>
        <v>94336.25</v>
      </c>
      <c r="Q249" s="675">
        <f t="shared" si="4"/>
        <v>63893.07</v>
      </c>
    </row>
    <row r="250" spans="2:29" ht="16.5" thickBot="1" x14ac:dyDescent="0.3">
      <c r="B250" s="1241"/>
      <c r="C250" s="1208"/>
      <c r="D250" s="558"/>
      <c r="E250" s="1208"/>
      <c r="F250" s="1202"/>
      <c r="G250" s="1208"/>
      <c r="H250" s="1210"/>
      <c r="I250" s="1208"/>
      <c r="J250" s="1205"/>
      <c r="K250" s="1208"/>
      <c r="L250" s="1208"/>
      <c r="M250" s="547" t="s">
        <v>745</v>
      </c>
      <c r="N250" s="549"/>
      <c r="O250" s="544">
        <f>O254+O258+O262+O266+O270+O274+O278+O282+O286+O290+O294+O298+O302+O306+O310+O314+O318+O322+O326+O330+O334+O338+O342+O346+O350+O354+O358+O362</f>
        <v>0</v>
      </c>
      <c r="P250" s="544">
        <f t="shared" si="4"/>
        <v>0</v>
      </c>
      <c r="Q250" s="675">
        <f t="shared" si="4"/>
        <v>0</v>
      </c>
    </row>
    <row r="251" spans="2:29" ht="16.5" thickBot="1" x14ac:dyDescent="0.3">
      <c r="B251" s="1240" t="s">
        <v>64</v>
      </c>
      <c r="C251" s="1238">
        <v>67321</v>
      </c>
      <c r="D251" s="555">
        <v>27302170</v>
      </c>
      <c r="E251" s="1236" t="s">
        <v>200</v>
      </c>
      <c r="F251" s="1200" t="s">
        <v>971</v>
      </c>
      <c r="G251" s="1234" t="s">
        <v>190</v>
      </c>
      <c r="H251" s="1312" t="s">
        <v>240</v>
      </c>
      <c r="I251" s="1236">
        <v>1</v>
      </c>
      <c r="J251" s="1207" t="s">
        <v>528</v>
      </c>
      <c r="K251" s="1206" t="s">
        <v>199</v>
      </c>
      <c r="L251" s="1206" t="s">
        <v>199</v>
      </c>
      <c r="M251" s="542" t="s">
        <v>122</v>
      </c>
      <c r="N251" s="1248"/>
      <c r="O251" s="551">
        <f>O252+O253</f>
        <v>92.212000000000003</v>
      </c>
      <c r="P251" s="551">
        <f>P252+P253</f>
        <v>0</v>
      </c>
      <c r="Q251" s="552">
        <f>Q252+Q253</f>
        <v>0</v>
      </c>
    </row>
    <row r="252" spans="2:29" ht="16.5" thickBot="1" x14ac:dyDescent="0.3">
      <c r="B252" s="1204"/>
      <c r="C252" s="1192"/>
      <c r="D252" s="555"/>
      <c r="E252" s="1199"/>
      <c r="F252" s="1201"/>
      <c r="G252" s="1201"/>
      <c r="H252" s="1209"/>
      <c r="I252" s="1199"/>
      <c r="J252" s="1199"/>
      <c r="K252" s="1204"/>
      <c r="L252" s="1204"/>
      <c r="M252" s="636" t="s">
        <v>123</v>
      </c>
      <c r="N252" s="1249"/>
      <c r="O252" s="561">
        <v>0</v>
      </c>
      <c r="P252" s="562">
        <v>0</v>
      </c>
      <c r="Q252" s="550">
        <v>0</v>
      </c>
    </row>
    <row r="253" spans="2:29" ht="16.5" thickBot="1" x14ac:dyDescent="0.3">
      <c r="B253" s="1204"/>
      <c r="C253" s="1192"/>
      <c r="D253" s="555"/>
      <c r="E253" s="1199"/>
      <c r="F253" s="1201"/>
      <c r="G253" s="1201"/>
      <c r="H253" s="1209"/>
      <c r="I253" s="1199"/>
      <c r="J253" s="1199"/>
      <c r="K253" s="1204"/>
      <c r="L253" s="1204"/>
      <c r="M253" s="672" t="s">
        <v>124</v>
      </c>
      <c r="N253" s="1250"/>
      <c r="O253" s="551">
        <v>92.212000000000003</v>
      </c>
      <c r="P253" s="552">
        <v>0</v>
      </c>
      <c r="Q253" s="549">
        <v>0</v>
      </c>
    </row>
    <row r="254" spans="2:29" ht="16.5" thickBot="1" x14ac:dyDescent="0.3">
      <c r="B254" s="1241"/>
      <c r="C254" s="1239"/>
      <c r="D254" s="555"/>
      <c r="E254" s="1237"/>
      <c r="F254" s="1235"/>
      <c r="G254" s="1235"/>
      <c r="H254" s="1291"/>
      <c r="I254" s="1237"/>
      <c r="J254" s="1199"/>
      <c r="K254" s="1204"/>
      <c r="L254" s="1204"/>
      <c r="M254" s="547" t="s">
        <v>745</v>
      </c>
      <c r="N254" s="681"/>
      <c r="O254" s="557">
        <v>0</v>
      </c>
      <c r="P254" s="676">
        <v>0</v>
      </c>
      <c r="Q254" s="563">
        <v>0</v>
      </c>
    </row>
    <row r="255" spans="2:29" s="48" customFormat="1" ht="24.75" customHeight="1" thickBot="1" x14ac:dyDescent="0.3">
      <c r="B255" s="1240" t="s">
        <v>64</v>
      </c>
      <c r="C255" s="1238">
        <v>67321</v>
      </c>
      <c r="D255" s="555">
        <v>27302170</v>
      </c>
      <c r="E255" s="1236" t="s">
        <v>200</v>
      </c>
      <c r="F255" s="1234" t="s">
        <v>972</v>
      </c>
      <c r="G255" s="1234" t="s">
        <v>190</v>
      </c>
      <c r="H255" s="1312" t="s">
        <v>240</v>
      </c>
      <c r="I255" s="1236">
        <v>1</v>
      </c>
      <c r="J255" s="1207" t="s">
        <v>528</v>
      </c>
      <c r="K255" s="1206" t="s">
        <v>199</v>
      </c>
      <c r="L255" s="1206" t="s">
        <v>199</v>
      </c>
      <c r="M255" s="542" t="s">
        <v>122</v>
      </c>
      <c r="N255" s="1248"/>
      <c r="O255" s="551">
        <f>O256+O257</f>
        <v>35243.19</v>
      </c>
      <c r="P255" s="551">
        <f>P256+P257</f>
        <v>0</v>
      </c>
      <c r="Q255" s="552">
        <f>Q256+Q257</f>
        <v>0</v>
      </c>
      <c r="R255" s="707"/>
      <c r="S255" s="707"/>
      <c r="T255" s="707"/>
      <c r="U255" s="707"/>
      <c r="V255" s="707"/>
      <c r="W255" s="707"/>
      <c r="X255" s="707"/>
      <c r="Y255" s="707"/>
      <c r="Z255" s="686"/>
      <c r="AA255" s="686"/>
      <c r="AB255" s="686"/>
      <c r="AC255" s="707"/>
    </row>
    <row r="256" spans="2:29" s="48" customFormat="1" ht="24.75" customHeight="1" thickBot="1" x14ac:dyDescent="0.3">
      <c r="B256" s="1204"/>
      <c r="C256" s="1192"/>
      <c r="D256" s="555"/>
      <c r="E256" s="1199"/>
      <c r="F256" s="1201"/>
      <c r="G256" s="1201"/>
      <c r="H256" s="1209"/>
      <c r="I256" s="1199"/>
      <c r="J256" s="1199"/>
      <c r="K256" s="1204"/>
      <c r="L256" s="1204"/>
      <c r="M256" s="636" t="s">
        <v>123</v>
      </c>
      <c r="N256" s="1249"/>
      <c r="O256" s="561">
        <v>0</v>
      </c>
      <c r="P256" s="562">
        <v>0</v>
      </c>
      <c r="Q256" s="550">
        <v>0</v>
      </c>
      <c r="R256" s="707"/>
      <c r="S256" s="707"/>
      <c r="T256" s="707"/>
      <c r="U256" s="707"/>
      <c r="V256" s="707"/>
      <c r="W256" s="707"/>
      <c r="X256" s="707"/>
      <c r="Y256" s="707"/>
      <c r="Z256" s="686"/>
      <c r="AA256" s="686"/>
      <c r="AB256" s="686"/>
      <c r="AC256" s="707"/>
    </row>
    <row r="257" spans="2:17" ht="24.75" customHeight="1" thickBot="1" x14ac:dyDescent="0.3">
      <c r="B257" s="1204"/>
      <c r="C257" s="1192"/>
      <c r="D257" s="555"/>
      <c r="E257" s="1199"/>
      <c r="F257" s="1201"/>
      <c r="G257" s="1201"/>
      <c r="H257" s="1209"/>
      <c r="I257" s="1199"/>
      <c r="J257" s="1199"/>
      <c r="K257" s="1204"/>
      <c r="L257" s="1204"/>
      <c r="M257" s="672" t="s">
        <v>124</v>
      </c>
      <c r="N257" s="1250"/>
      <c r="O257" s="551">
        <v>35243.19</v>
      </c>
      <c r="P257" s="552">
        <v>0</v>
      </c>
      <c r="Q257" s="549">
        <v>0</v>
      </c>
    </row>
    <row r="258" spans="2:17" ht="24.75" customHeight="1" thickBot="1" x14ac:dyDescent="0.3">
      <c r="B258" s="1241"/>
      <c r="C258" s="1239"/>
      <c r="D258" s="555"/>
      <c r="E258" s="1237"/>
      <c r="F258" s="1235"/>
      <c r="G258" s="1235"/>
      <c r="H258" s="1291"/>
      <c r="I258" s="1237"/>
      <c r="J258" s="1199"/>
      <c r="K258" s="1204"/>
      <c r="L258" s="1204"/>
      <c r="M258" s="547" t="s">
        <v>745</v>
      </c>
      <c r="N258" s="681"/>
      <c r="O258" s="557">
        <v>0</v>
      </c>
      <c r="P258" s="676">
        <v>0</v>
      </c>
      <c r="Q258" s="563">
        <v>0</v>
      </c>
    </row>
    <row r="259" spans="2:17" ht="16.5" thickBot="1" x14ac:dyDescent="0.3">
      <c r="B259" s="1240" t="s">
        <v>64</v>
      </c>
      <c r="C259" s="1238">
        <v>67321</v>
      </c>
      <c r="D259" s="555">
        <v>27302170</v>
      </c>
      <c r="E259" s="1236" t="s">
        <v>200</v>
      </c>
      <c r="F259" s="1234" t="s">
        <v>973</v>
      </c>
      <c r="G259" s="1234" t="s">
        <v>190</v>
      </c>
      <c r="H259" s="1312" t="s">
        <v>240</v>
      </c>
      <c r="I259" s="1236">
        <v>1</v>
      </c>
      <c r="J259" s="1207" t="s">
        <v>528</v>
      </c>
      <c r="K259" s="1206" t="s">
        <v>199</v>
      </c>
      <c r="L259" s="1206" t="s">
        <v>199</v>
      </c>
      <c r="M259" s="542" t="s">
        <v>122</v>
      </c>
      <c r="N259" s="1248"/>
      <c r="O259" s="551">
        <f>O260+O261</f>
        <v>9555.61</v>
      </c>
      <c r="P259" s="551">
        <f>P260+P261</f>
        <v>0</v>
      </c>
      <c r="Q259" s="552">
        <f>Q260+Q261</f>
        <v>0</v>
      </c>
    </row>
    <row r="260" spans="2:17" ht="16.5" thickBot="1" x14ac:dyDescent="0.3">
      <c r="B260" s="1204"/>
      <c r="C260" s="1192"/>
      <c r="D260" s="555"/>
      <c r="E260" s="1199"/>
      <c r="F260" s="1201"/>
      <c r="G260" s="1201"/>
      <c r="H260" s="1209"/>
      <c r="I260" s="1199"/>
      <c r="J260" s="1199"/>
      <c r="K260" s="1204"/>
      <c r="L260" s="1204"/>
      <c r="M260" s="636" t="s">
        <v>123</v>
      </c>
      <c r="N260" s="1249"/>
      <c r="O260" s="561">
        <v>0</v>
      </c>
      <c r="P260" s="562">
        <v>0</v>
      </c>
      <c r="Q260" s="550">
        <v>0</v>
      </c>
    </row>
    <row r="261" spans="2:17" ht="16.5" thickBot="1" x14ac:dyDescent="0.3">
      <c r="B261" s="1204"/>
      <c r="C261" s="1192"/>
      <c r="D261" s="555"/>
      <c r="E261" s="1199"/>
      <c r="F261" s="1201"/>
      <c r="G261" s="1201"/>
      <c r="H261" s="1209"/>
      <c r="I261" s="1199"/>
      <c r="J261" s="1199"/>
      <c r="K261" s="1204"/>
      <c r="L261" s="1204"/>
      <c r="M261" s="672" t="s">
        <v>124</v>
      </c>
      <c r="N261" s="1250"/>
      <c r="O261" s="551">
        <v>9555.61</v>
      </c>
      <c r="P261" s="552">
        <v>0</v>
      </c>
      <c r="Q261" s="549">
        <v>0</v>
      </c>
    </row>
    <row r="262" spans="2:17" ht="16.5" thickBot="1" x14ac:dyDescent="0.3">
      <c r="B262" s="1241"/>
      <c r="C262" s="1239"/>
      <c r="D262" s="555"/>
      <c r="E262" s="1237"/>
      <c r="F262" s="1235"/>
      <c r="G262" s="1235"/>
      <c r="H262" s="1291"/>
      <c r="I262" s="1237"/>
      <c r="J262" s="1199"/>
      <c r="K262" s="1204"/>
      <c r="L262" s="1204"/>
      <c r="M262" s="547" t="s">
        <v>745</v>
      </c>
      <c r="N262" s="681"/>
      <c r="O262" s="557">
        <v>0</v>
      </c>
      <c r="P262" s="676">
        <v>0</v>
      </c>
      <c r="Q262" s="563">
        <v>0</v>
      </c>
    </row>
    <row r="263" spans="2:17" ht="16.5" thickBot="1" x14ac:dyDescent="0.3">
      <c r="B263" s="1240" t="s">
        <v>64</v>
      </c>
      <c r="C263" s="1238">
        <v>67321</v>
      </c>
      <c r="D263" s="555">
        <v>27302170</v>
      </c>
      <c r="E263" s="1236" t="s">
        <v>200</v>
      </c>
      <c r="F263" s="1234" t="s">
        <v>974</v>
      </c>
      <c r="G263" s="1234" t="s">
        <v>844</v>
      </c>
      <c r="H263" s="1312" t="s">
        <v>240</v>
      </c>
      <c r="I263" s="1236">
        <v>1</v>
      </c>
      <c r="J263" s="1207" t="s">
        <v>528</v>
      </c>
      <c r="K263" s="1206" t="s">
        <v>199</v>
      </c>
      <c r="L263" s="1206" t="s">
        <v>199</v>
      </c>
      <c r="M263" s="542" t="s">
        <v>122</v>
      </c>
      <c r="N263" s="1248"/>
      <c r="O263" s="551">
        <f>O264+O265</f>
        <v>135054.81</v>
      </c>
      <c r="P263" s="551">
        <f>P264+P265</f>
        <v>48812.77</v>
      </c>
      <c r="Q263" s="552">
        <f>Q264+Q265</f>
        <v>0</v>
      </c>
    </row>
    <row r="264" spans="2:17" ht="16.5" thickBot="1" x14ac:dyDescent="0.3">
      <c r="B264" s="1204"/>
      <c r="C264" s="1192"/>
      <c r="D264" s="555"/>
      <c r="E264" s="1199"/>
      <c r="F264" s="1201"/>
      <c r="G264" s="1201"/>
      <c r="H264" s="1209"/>
      <c r="I264" s="1199"/>
      <c r="J264" s="1199"/>
      <c r="K264" s="1204"/>
      <c r="L264" s="1204"/>
      <c r="M264" s="636" t="s">
        <v>123</v>
      </c>
      <c r="N264" s="1249"/>
      <c r="O264" s="561">
        <v>0</v>
      </c>
      <c r="P264" s="562">
        <v>0</v>
      </c>
      <c r="Q264" s="550">
        <v>0</v>
      </c>
    </row>
    <row r="265" spans="2:17" ht="16.5" thickBot="1" x14ac:dyDescent="0.3">
      <c r="B265" s="1204"/>
      <c r="C265" s="1192"/>
      <c r="D265" s="555"/>
      <c r="E265" s="1199"/>
      <c r="F265" s="1201"/>
      <c r="G265" s="1201"/>
      <c r="H265" s="1209"/>
      <c r="I265" s="1199"/>
      <c r="J265" s="1199"/>
      <c r="K265" s="1204"/>
      <c r="L265" s="1204"/>
      <c r="M265" s="672" t="s">
        <v>124</v>
      </c>
      <c r="N265" s="1250"/>
      <c r="O265" s="551">
        <v>135054.81</v>
      </c>
      <c r="P265" s="552">
        <v>48812.77</v>
      </c>
      <c r="Q265" s="549">
        <v>0</v>
      </c>
    </row>
    <row r="266" spans="2:17" ht="16.5" thickBot="1" x14ac:dyDescent="0.3">
      <c r="B266" s="1241"/>
      <c r="C266" s="1239"/>
      <c r="D266" s="555"/>
      <c r="E266" s="1237"/>
      <c r="F266" s="1235"/>
      <c r="G266" s="1235"/>
      <c r="H266" s="1291"/>
      <c r="I266" s="1237"/>
      <c r="J266" s="1199"/>
      <c r="K266" s="1204"/>
      <c r="L266" s="1204"/>
      <c r="M266" s="547" t="s">
        <v>745</v>
      </c>
      <c r="N266" s="681"/>
      <c r="O266" s="557">
        <v>0</v>
      </c>
      <c r="P266" s="676">
        <v>0</v>
      </c>
      <c r="Q266" s="563">
        <v>0</v>
      </c>
    </row>
    <row r="267" spans="2:17" ht="16.5" thickBot="1" x14ac:dyDescent="0.3">
      <c r="B267" s="1240" t="s">
        <v>64</v>
      </c>
      <c r="C267" s="1238">
        <v>67321</v>
      </c>
      <c r="D267" s="555">
        <v>27302168</v>
      </c>
      <c r="E267" s="1236" t="s">
        <v>204</v>
      </c>
      <c r="F267" s="1200" t="s">
        <v>975</v>
      </c>
      <c r="G267" s="1234" t="s">
        <v>190</v>
      </c>
      <c r="H267" s="1312" t="s">
        <v>240</v>
      </c>
      <c r="I267" s="1236">
        <v>1</v>
      </c>
      <c r="J267" s="1207" t="s">
        <v>528</v>
      </c>
      <c r="K267" s="1206" t="s">
        <v>199</v>
      </c>
      <c r="L267" s="1206" t="s">
        <v>199</v>
      </c>
      <c r="M267" s="542" t="s">
        <v>122</v>
      </c>
      <c r="N267" s="1248"/>
      <c r="O267" s="551">
        <f>O268+O269</f>
        <v>6200</v>
      </c>
      <c r="P267" s="551">
        <f>P268+P269</f>
        <v>0</v>
      </c>
      <c r="Q267" s="552">
        <f>Q268+Q269</f>
        <v>0</v>
      </c>
    </row>
    <row r="268" spans="2:17" ht="16.5" thickBot="1" x14ac:dyDescent="0.3">
      <c r="B268" s="1204"/>
      <c r="C268" s="1192"/>
      <c r="D268" s="555"/>
      <c r="E268" s="1199"/>
      <c r="F268" s="1201"/>
      <c r="G268" s="1201"/>
      <c r="H268" s="1209"/>
      <c r="I268" s="1199"/>
      <c r="J268" s="1199"/>
      <c r="K268" s="1204"/>
      <c r="L268" s="1204"/>
      <c r="M268" s="636" t="s">
        <v>123</v>
      </c>
      <c r="N268" s="1249"/>
      <c r="O268" s="561">
        <v>0</v>
      </c>
      <c r="P268" s="562">
        <v>0</v>
      </c>
      <c r="Q268" s="550">
        <v>0</v>
      </c>
    </row>
    <row r="269" spans="2:17" ht="16.5" thickBot="1" x14ac:dyDescent="0.3">
      <c r="B269" s="1204"/>
      <c r="C269" s="1192"/>
      <c r="D269" s="555"/>
      <c r="E269" s="1199"/>
      <c r="F269" s="1201"/>
      <c r="G269" s="1201"/>
      <c r="H269" s="1209"/>
      <c r="I269" s="1199"/>
      <c r="J269" s="1199"/>
      <c r="K269" s="1204"/>
      <c r="L269" s="1204"/>
      <c r="M269" s="672" t="s">
        <v>124</v>
      </c>
      <c r="N269" s="1250"/>
      <c r="O269" s="551">
        <v>6200</v>
      </c>
      <c r="P269" s="552">
        <v>0</v>
      </c>
      <c r="Q269" s="549">
        <v>0</v>
      </c>
    </row>
    <row r="270" spans="2:17" ht="16.5" thickBot="1" x14ac:dyDescent="0.3">
      <c r="B270" s="1241"/>
      <c r="C270" s="1239"/>
      <c r="D270" s="555"/>
      <c r="E270" s="1237"/>
      <c r="F270" s="1202"/>
      <c r="G270" s="1235"/>
      <c r="H270" s="1291"/>
      <c r="I270" s="1237"/>
      <c r="J270" s="1199"/>
      <c r="K270" s="1204"/>
      <c r="L270" s="1204"/>
      <c r="M270" s="547" t="s">
        <v>745</v>
      </c>
      <c r="N270" s="681"/>
      <c r="O270" s="557">
        <v>0</v>
      </c>
      <c r="P270" s="676">
        <v>0</v>
      </c>
      <c r="Q270" s="563">
        <v>0</v>
      </c>
    </row>
    <row r="271" spans="2:17" ht="16.5" thickBot="1" x14ac:dyDescent="0.3">
      <c r="B271" s="1240" t="s">
        <v>64</v>
      </c>
      <c r="C271" s="1238">
        <v>67321</v>
      </c>
      <c r="D271" s="555">
        <v>27302168</v>
      </c>
      <c r="E271" s="1236" t="s">
        <v>204</v>
      </c>
      <c r="F271" s="1200" t="s">
        <v>978</v>
      </c>
      <c r="G271" s="1234" t="s">
        <v>979</v>
      </c>
      <c r="H271" s="1312" t="s">
        <v>240</v>
      </c>
      <c r="I271" s="1236">
        <v>3</v>
      </c>
      <c r="J271" s="1207" t="s">
        <v>528</v>
      </c>
      <c r="K271" s="1206" t="s">
        <v>199</v>
      </c>
      <c r="L271" s="1206" t="s">
        <v>199</v>
      </c>
      <c r="M271" s="542" t="s">
        <v>122</v>
      </c>
      <c r="N271" s="1248"/>
      <c r="O271" s="551">
        <f>O272+O273</f>
        <v>34.4</v>
      </c>
      <c r="P271" s="551">
        <f>P272+P273</f>
        <v>0</v>
      </c>
      <c r="Q271" s="552">
        <f>Q272+Q273</f>
        <v>0</v>
      </c>
    </row>
    <row r="272" spans="2:17" ht="16.5" thickBot="1" x14ac:dyDescent="0.3">
      <c r="B272" s="1204"/>
      <c r="C272" s="1192"/>
      <c r="D272" s="555"/>
      <c r="E272" s="1199"/>
      <c r="F272" s="1201"/>
      <c r="G272" s="1201"/>
      <c r="H272" s="1209"/>
      <c r="I272" s="1199"/>
      <c r="J272" s="1199"/>
      <c r="K272" s="1204"/>
      <c r="L272" s="1204"/>
      <c r="M272" s="636" t="s">
        <v>123</v>
      </c>
      <c r="N272" s="1249"/>
      <c r="O272" s="561">
        <v>0</v>
      </c>
      <c r="P272" s="562">
        <v>0</v>
      </c>
      <c r="Q272" s="550">
        <v>0</v>
      </c>
    </row>
    <row r="273" spans="2:17" ht="16.5" thickBot="1" x14ac:dyDescent="0.3">
      <c r="B273" s="1204"/>
      <c r="C273" s="1192"/>
      <c r="D273" s="555"/>
      <c r="E273" s="1199"/>
      <c r="F273" s="1201"/>
      <c r="G273" s="1201"/>
      <c r="H273" s="1209"/>
      <c r="I273" s="1199"/>
      <c r="J273" s="1199"/>
      <c r="K273" s="1204"/>
      <c r="L273" s="1204"/>
      <c r="M273" s="672" t="s">
        <v>124</v>
      </c>
      <c r="N273" s="1250"/>
      <c r="O273" s="551">
        <v>34.4</v>
      </c>
      <c r="P273" s="552">
        <v>0</v>
      </c>
      <c r="Q273" s="549">
        <v>0</v>
      </c>
    </row>
    <row r="274" spans="2:17" ht="16.5" thickBot="1" x14ac:dyDescent="0.3">
      <c r="B274" s="1241"/>
      <c r="C274" s="1239"/>
      <c r="D274" s="555"/>
      <c r="E274" s="1237"/>
      <c r="F274" s="1202"/>
      <c r="G274" s="1235"/>
      <c r="H274" s="1291"/>
      <c r="I274" s="1237"/>
      <c r="J274" s="1199"/>
      <c r="K274" s="1204"/>
      <c r="L274" s="1204"/>
      <c r="M274" s="547" t="s">
        <v>745</v>
      </c>
      <c r="N274" s="681"/>
      <c r="O274" s="557">
        <v>0</v>
      </c>
      <c r="P274" s="676">
        <v>0</v>
      </c>
      <c r="Q274" s="563">
        <v>0</v>
      </c>
    </row>
    <row r="275" spans="2:17" ht="16.5" thickBot="1" x14ac:dyDescent="0.3">
      <c r="B275" s="1240" t="s">
        <v>64</v>
      </c>
      <c r="C275" s="1238">
        <v>67321</v>
      </c>
      <c r="D275" s="555">
        <v>27302168</v>
      </c>
      <c r="E275" s="1236" t="s">
        <v>204</v>
      </c>
      <c r="F275" s="1200" t="s">
        <v>980</v>
      </c>
      <c r="G275" s="1234" t="s">
        <v>981</v>
      </c>
      <c r="H275" s="1312" t="s">
        <v>240</v>
      </c>
      <c r="I275" s="1236">
        <v>1</v>
      </c>
      <c r="J275" s="1207" t="s">
        <v>528</v>
      </c>
      <c r="K275" s="1206" t="s">
        <v>199</v>
      </c>
      <c r="L275" s="1206" t="s">
        <v>199</v>
      </c>
      <c r="M275" s="542" t="s">
        <v>122</v>
      </c>
      <c r="N275" s="1248"/>
      <c r="O275" s="551">
        <f>O276+O277</f>
        <v>986</v>
      </c>
      <c r="P275" s="551">
        <f>P276+P277</f>
        <v>0</v>
      </c>
      <c r="Q275" s="552">
        <f>Q276+Q277</f>
        <v>0</v>
      </c>
    </row>
    <row r="276" spans="2:17" ht="16.5" thickBot="1" x14ac:dyDescent="0.3">
      <c r="B276" s="1204"/>
      <c r="C276" s="1192"/>
      <c r="D276" s="555"/>
      <c r="E276" s="1199"/>
      <c r="F276" s="1201"/>
      <c r="G276" s="1201"/>
      <c r="H276" s="1209"/>
      <c r="I276" s="1199"/>
      <c r="J276" s="1199"/>
      <c r="K276" s="1204"/>
      <c r="L276" s="1204"/>
      <c r="M276" s="636" t="s">
        <v>123</v>
      </c>
      <c r="N276" s="1249"/>
      <c r="O276" s="561">
        <v>0</v>
      </c>
      <c r="P276" s="562">
        <v>0</v>
      </c>
      <c r="Q276" s="550">
        <v>0</v>
      </c>
    </row>
    <row r="277" spans="2:17" ht="16.5" thickBot="1" x14ac:dyDescent="0.3">
      <c r="B277" s="1204"/>
      <c r="C277" s="1192"/>
      <c r="D277" s="555"/>
      <c r="E277" s="1199"/>
      <c r="F277" s="1201"/>
      <c r="G277" s="1201"/>
      <c r="H277" s="1209"/>
      <c r="I277" s="1199"/>
      <c r="J277" s="1199"/>
      <c r="K277" s="1204"/>
      <c r="L277" s="1204"/>
      <c r="M277" s="672" t="s">
        <v>124</v>
      </c>
      <c r="N277" s="1250"/>
      <c r="O277" s="551">
        <v>986</v>
      </c>
      <c r="P277" s="552">
        <v>0</v>
      </c>
      <c r="Q277" s="549">
        <v>0</v>
      </c>
    </row>
    <row r="278" spans="2:17" ht="16.5" thickBot="1" x14ac:dyDescent="0.3">
      <c r="B278" s="1241"/>
      <c r="C278" s="1239"/>
      <c r="D278" s="555"/>
      <c r="E278" s="1237"/>
      <c r="F278" s="1202"/>
      <c r="G278" s="1235"/>
      <c r="H278" s="1291"/>
      <c r="I278" s="1237"/>
      <c r="J278" s="1199"/>
      <c r="K278" s="1204"/>
      <c r="L278" s="1204"/>
      <c r="M278" s="547" t="s">
        <v>745</v>
      </c>
      <c r="N278" s="681"/>
      <c r="O278" s="557">
        <v>0</v>
      </c>
      <c r="P278" s="676">
        <v>0</v>
      </c>
      <c r="Q278" s="563">
        <v>0</v>
      </c>
    </row>
    <row r="279" spans="2:17" ht="16.5" thickBot="1" x14ac:dyDescent="0.3">
      <c r="B279" s="1240" t="s">
        <v>64</v>
      </c>
      <c r="C279" s="1238">
        <v>67321</v>
      </c>
      <c r="D279" s="555">
        <v>27302168</v>
      </c>
      <c r="E279" s="1236" t="s">
        <v>204</v>
      </c>
      <c r="F279" s="1200" t="s">
        <v>982</v>
      </c>
      <c r="G279" s="1234" t="s">
        <v>983</v>
      </c>
      <c r="H279" s="1312" t="s">
        <v>240</v>
      </c>
      <c r="I279" s="1236">
        <v>1</v>
      </c>
      <c r="J279" s="1207" t="s">
        <v>528</v>
      </c>
      <c r="K279" s="1206" t="s">
        <v>199</v>
      </c>
      <c r="L279" s="1206" t="s">
        <v>199</v>
      </c>
      <c r="M279" s="542" t="s">
        <v>122</v>
      </c>
      <c r="N279" s="1248"/>
      <c r="O279" s="551">
        <f>O280+O281</f>
        <v>27.24</v>
      </c>
      <c r="P279" s="551">
        <f>P280+P281</f>
        <v>0</v>
      </c>
      <c r="Q279" s="552">
        <f>Q280+Q281</f>
        <v>0</v>
      </c>
    </row>
    <row r="280" spans="2:17" ht="16.5" thickBot="1" x14ac:dyDescent="0.3">
      <c r="B280" s="1204"/>
      <c r="C280" s="1192"/>
      <c r="D280" s="555"/>
      <c r="E280" s="1199"/>
      <c r="F280" s="1201"/>
      <c r="G280" s="1201"/>
      <c r="H280" s="1209"/>
      <c r="I280" s="1199"/>
      <c r="J280" s="1199"/>
      <c r="K280" s="1204"/>
      <c r="L280" s="1204"/>
      <c r="M280" s="636" t="s">
        <v>123</v>
      </c>
      <c r="N280" s="1249"/>
      <c r="O280" s="561">
        <v>0</v>
      </c>
      <c r="P280" s="562">
        <v>0</v>
      </c>
      <c r="Q280" s="550">
        <v>0</v>
      </c>
    </row>
    <row r="281" spans="2:17" ht="16.5" thickBot="1" x14ac:dyDescent="0.3">
      <c r="B281" s="1204"/>
      <c r="C281" s="1192"/>
      <c r="D281" s="555"/>
      <c r="E281" s="1199"/>
      <c r="F281" s="1201"/>
      <c r="G281" s="1201"/>
      <c r="H281" s="1209"/>
      <c r="I281" s="1199"/>
      <c r="J281" s="1199"/>
      <c r="K281" s="1204"/>
      <c r="L281" s="1204"/>
      <c r="M281" s="672" t="s">
        <v>124</v>
      </c>
      <c r="N281" s="1250"/>
      <c r="O281" s="551">
        <v>27.24</v>
      </c>
      <c r="P281" s="552">
        <v>0</v>
      </c>
      <c r="Q281" s="549">
        <v>0</v>
      </c>
    </row>
    <row r="282" spans="2:17" ht="16.5" thickBot="1" x14ac:dyDescent="0.3">
      <c r="B282" s="1241"/>
      <c r="C282" s="1239"/>
      <c r="D282" s="555"/>
      <c r="E282" s="1237"/>
      <c r="F282" s="1202"/>
      <c r="G282" s="1235"/>
      <c r="H282" s="1291"/>
      <c r="I282" s="1237"/>
      <c r="J282" s="1199"/>
      <c r="K282" s="1204"/>
      <c r="L282" s="1204"/>
      <c r="M282" s="547" t="s">
        <v>745</v>
      </c>
      <c r="N282" s="681"/>
      <c r="O282" s="557">
        <v>0</v>
      </c>
      <c r="P282" s="676">
        <v>0</v>
      </c>
      <c r="Q282" s="563">
        <v>0</v>
      </c>
    </row>
    <row r="283" spans="2:17" ht="16.5" thickBot="1" x14ac:dyDescent="0.3">
      <c r="B283" s="1240" t="s">
        <v>64</v>
      </c>
      <c r="C283" s="1238">
        <v>67321</v>
      </c>
      <c r="D283" s="555">
        <v>27302169</v>
      </c>
      <c r="E283" s="1236" t="s">
        <v>575</v>
      </c>
      <c r="F283" s="1200" t="s">
        <v>976</v>
      </c>
      <c r="G283" s="1234" t="s">
        <v>190</v>
      </c>
      <c r="H283" s="1312" t="s">
        <v>240</v>
      </c>
      <c r="I283" s="1236">
        <v>1</v>
      </c>
      <c r="J283" s="1207" t="s">
        <v>528</v>
      </c>
      <c r="K283" s="1206" t="s">
        <v>199</v>
      </c>
      <c r="L283" s="1206" t="s">
        <v>199</v>
      </c>
      <c r="M283" s="542" t="s">
        <v>122</v>
      </c>
      <c r="N283" s="1248"/>
      <c r="O283" s="551">
        <f>O284+O285</f>
        <v>6000</v>
      </c>
      <c r="P283" s="551">
        <f>P284+P285</f>
        <v>0</v>
      </c>
      <c r="Q283" s="552">
        <f>Q284+Q285</f>
        <v>0</v>
      </c>
    </row>
    <row r="284" spans="2:17" ht="16.5" thickBot="1" x14ac:dyDescent="0.3">
      <c r="B284" s="1204"/>
      <c r="C284" s="1192"/>
      <c r="D284" s="555"/>
      <c r="E284" s="1199"/>
      <c r="F284" s="1201"/>
      <c r="G284" s="1201"/>
      <c r="H284" s="1209"/>
      <c r="I284" s="1199"/>
      <c r="J284" s="1199"/>
      <c r="K284" s="1204"/>
      <c r="L284" s="1204"/>
      <c r="M284" s="636" t="s">
        <v>123</v>
      </c>
      <c r="N284" s="1249"/>
      <c r="O284" s="561">
        <v>0</v>
      </c>
      <c r="P284" s="562">
        <v>0</v>
      </c>
      <c r="Q284" s="550">
        <v>0</v>
      </c>
    </row>
    <row r="285" spans="2:17" ht="16.5" thickBot="1" x14ac:dyDescent="0.3">
      <c r="B285" s="1204"/>
      <c r="C285" s="1192"/>
      <c r="D285" s="555"/>
      <c r="E285" s="1199"/>
      <c r="F285" s="1201"/>
      <c r="G285" s="1201"/>
      <c r="H285" s="1209"/>
      <c r="I285" s="1199"/>
      <c r="J285" s="1199"/>
      <c r="K285" s="1204"/>
      <c r="L285" s="1204"/>
      <c r="M285" s="672" t="s">
        <v>124</v>
      </c>
      <c r="N285" s="1250"/>
      <c r="O285" s="551">
        <v>6000</v>
      </c>
      <c r="P285" s="552">
        <v>0</v>
      </c>
      <c r="Q285" s="549">
        <v>0</v>
      </c>
    </row>
    <row r="286" spans="2:17" ht="16.5" thickBot="1" x14ac:dyDescent="0.3">
      <c r="B286" s="1241"/>
      <c r="C286" s="1239"/>
      <c r="D286" s="555"/>
      <c r="E286" s="1237"/>
      <c r="F286" s="1202"/>
      <c r="G286" s="1235"/>
      <c r="H286" s="1291"/>
      <c r="I286" s="1237"/>
      <c r="J286" s="1199"/>
      <c r="K286" s="1204"/>
      <c r="L286" s="1204"/>
      <c r="M286" s="547" t="s">
        <v>745</v>
      </c>
      <c r="N286" s="681"/>
      <c r="O286" s="557">
        <v>0</v>
      </c>
      <c r="P286" s="676">
        <v>0</v>
      </c>
      <c r="Q286" s="563">
        <v>0</v>
      </c>
    </row>
    <row r="287" spans="2:17" ht="16.5" thickBot="1" x14ac:dyDescent="0.3">
      <c r="B287" s="1240" t="s">
        <v>64</v>
      </c>
      <c r="C287" s="1238">
        <v>67321</v>
      </c>
      <c r="D287" s="555"/>
      <c r="E287" s="1236" t="s">
        <v>459</v>
      </c>
      <c r="F287" s="1200" t="s">
        <v>977</v>
      </c>
      <c r="G287" s="1234" t="s">
        <v>190</v>
      </c>
      <c r="H287" s="1312" t="s">
        <v>240</v>
      </c>
      <c r="I287" s="1236">
        <v>1</v>
      </c>
      <c r="J287" s="1207" t="s">
        <v>528</v>
      </c>
      <c r="K287" s="1206" t="s">
        <v>199</v>
      </c>
      <c r="L287" s="1206" t="s">
        <v>199</v>
      </c>
      <c r="M287" s="542" t="s">
        <v>122</v>
      </c>
      <c r="N287" s="1248"/>
      <c r="O287" s="551">
        <f>O288+O289</f>
        <v>1900</v>
      </c>
      <c r="P287" s="551">
        <f>P288+P289</f>
        <v>0</v>
      </c>
      <c r="Q287" s="552">
        <f>Q288+Q289</f>
        <v>0</v>
      </c>
    </row>
    <row r="288" spans="2:17" ht="16.5" thickBot="1" x14ac:dyDescent="0.3">
      <c r="B288" s="1204"/>
      <c r="C288" s="1192"/>
      <c r="D288" s="555"/>
      <c r="E288" s="1199"/>
      <c r="F288" s="1201"/>
      <c r="G288" s="1201"/>
      <c r="H288" s="1209"/>
      <c r="I288" s="1199"/>
      <c r="J288" s="1199"/>
      <c r="K288" s="1204"/>
      <c r="L288" s="1204"/>
      <c r="M288" s="636" t="s">
        <v>123</v>
      </c>
      <c r="N288" s="1249"/>
      <c r="O288" s="561">
        <v>0</v>
      </c>
      <c r="P288" s="562">
        <v>0</v>
      </c>
      <c r="Q288" s="550">
        <v>0</v>
      </c>
    </row>
    <row r="289" spans="2:17" ht="16.5" thickBot="1" x14ac:dyDescent="0.3">
      <c r="B289" s="1204"/>
      <c r="C289" s="1192"/>
      <c r="D289" s="555"/>
      <c r="E289" s="1199"/>
      <c r="F289" s="1201"/>
      <c r="G289" s="1201"/>
      <c r="H289" s="1209"/>
      <c r="I289" s="1199"/>
      <c r="J289" s="1199"/>
      <c r="K289" s="1204"/>
      <c r="L289" s="1204"/>
      <c r="M289" s="672" t="s">
        <v>124</v>
      </c>
      <c r="N289" s="1250"/>
      <c r="O289" s="551">
        <v>1900</v>
      </c>
      <c r="P289" s="552">
        <v>0</v>
      </c>
      <c r="Q289" s="549">
        <v>0</v>
      </c>
    </row>
    <row r="290" spans="2:17" ht="16.5" thickBot="1" x14ac:dyDescent="0.3">
      <c r="B290" s="1205"/>
      <c r="C290" s="1239"/>
      <c r="D290" s="680"/>
      <c r="E290" s="1199"/>
      <c r="F290" s="1201"/>
      <c r="G290" s="1235"/>
      <c r="H290" s="1291"/>
      <c r="I290" s="1237"/>
      <c r="J290" s="1199"/>
      <c r="K290" s="1204"/>
      <c r="L290" s="1204"/>
      <c r="M290" s="671" t="s">
        <v>745</v>
      </c>
      <c r="N290" s="690"/>
      <c r="O290" s="561">
        <v>0</v>
      </c>
      <c r="P290" s="562">
        <v>0</v>
      </c>
      <c r="Q290" s="550">
        <v>0</v>
      </c>
    </row>
    <row r="291" spans="2:17" ht="16.5" thickBot="1" x14ac:dyDescent="0.3">
      <c r="B291" s="1206" t="s">
        <v>64</v>
      </c>
      <c r="C291" s="1238">
        <v>67321</v>
      </c>
      <c r="D291" s="654"/>
      <c r="E291" s="1236" t="s">
        <v>984</v>
      </c>
      <c r="F291" s="1200" t="s">
        <v>985</v>
      </c>
      <c r="G291" s="1200" t="s">
        <v>986</v>
      </c>
      <c r="H291" s="1232" t="s">
        <v>240</v>
      </c>
      <c r="I291" s="1207">
        <v>1</v>
      </c>
      <c r="J291" s="1207" t="s">
        <v>528</v>
      </c>
      <c r="K291" s="1206" t="s">
        <v>199</v>
      </c>
      <c r="L291" s="1206" t="s">
        <v>199</v>
      </c>
      <c r="M291" s="542" t="s">
        <v>122</v>
      </c>
      <c r="N291" s="1248"/>
      <c r="O291" s="551">
        <f>O292+O293</f>
        <v>11405</v>
      </c>
      <c r="P291" s="551">
        <f>P292+P293</f>
        <v>0</v>
      </c>
      <c r="Q291" s="552">
        <f>Q292+Q293</f>
        <v>0</v>
      </c>
    </row>
    <row r="292" spans="2:17" ht="16.5" thickBot="1" x14ac:dyDescent="0.3">
      <c r="B292" s="1204"/>
      <c r="C292" s="1192"/>
      <c r="D292" s="555"/>
      <c r="E292" s="1199"/>
      <c r="F292" s="1201"/>
      <c r="G292" s="1201"/>
      <c r="H292" s="1209"/>
      <c r="I292" s="1199"/>
      <c r="J292" s="1199"/>
      <c r="K292" s="1204"/>
      <c r="L292" s="1204"/>
      <c r="M292" s="636" t="s">
        <v>123</v>
      </c>
      <c r="N292" s="1249"/>
      <c r="O292" s="561">
        <v>0</v>
      </c>
      <c r="P292" s="562">
        <v>0</v>
      </c>
      <c r="Q292" s="550">
        <v>0</v>
      </c>
    </row>
    <row r="293" spans="2:17" ht="16.5" thickBot="1" x14ac:dyDescent="0.3">
      <c r="B293" s="1204"/>
      <c r="C293" s="1192"/>
      <c r="D293" s="555"/>
      <c r="E293" s="1199"/>
      <c r="F293" s="1201"/>
      <c r="G293" s="1201"/>
      <c r="H293" s="1209"/>
      <c r="I293" s="1199"/>
      <c r="J293" s="1199"/>
      <c r="K293" s="1204"/>
      <c r="L293" s="1204"/>
      <c r="M293" s="672" t="s">
        <v>124</v>
      </c>
      <c r="N293" s="1250"/>
      <c r="O293" s="551">
        <v>11405</v>
      </c>
      <c r="P293" s="552">
        <v>0</v>
      </c>
      <c r="Q293" s="549">
        <v>0</v>
      </c>
    </row>
    <row r="294" spans="2:17" ht="16.5" thickBot="1" x14ac:dyDescent="0.3">
      <c r="B294" s="1205"/>
      <c r="C294" s="1239"/>
      <c r="D294" s="558"/>
      <c r="E294" s="1237"/>
      <c r="F294" s="1202"/>
      <c r="G294" s="1202"/>
      <c r="H294" s="1210"/>
      <c r="I294" s="1208"/>
      <c r="J294" s="1199"/>
      <c r="K294" s="1205"/>
      <c r="L294" s="1205"/>
      <c r="M294" s="547" t="s">
        <v>745</v>
      </c>
      <c r="N294" s="681"/>
      <c r="O294" s="557">
        <v>0</v>
      </c>
      <c r="P294" s="676">
        <v>0</v>
      </c>
      <c r="Q294" s="563">
        <v>0</v>
      </c>
    </row>
    <row r="295" spans="2:17" ht="16.5" thickBot="1" x14ac:dyDescent="0.3">
      <c r="B295" s="1206" t="s">
        <v>64</v>
      </c>
      <c r="C295" s="1238">
        <v>67321</v>
      </c>
      <c r="D295" s="682">
        <v>27302170</v>
      </c>
      <c r="E295" s="1199" t="s">
        <v>458</v>
      </c>
      <c r="F295" s="1201" t="s">
        <v>987</v>
      </c>
      <c r="G295" s="1234" t="s">
        <v>190</v>
      </c>
      <c r="H295" s="1312" t="s">
        <v>240</v>
      </c>
      <c r="I295" s="1236">
        <v>1</v>
      </c>
      <c r="J295" s="1207" t="s">
        <v>528</v>
      </c>
      <c r="K295" s="1204" t="s">
        <v>199</v>
      </c>
      <c r="L295" s="1204" t="s">
        <v>199</v>
      </c>
      <c r="M295" s="672" t="s">
        <v>122</v>
      </c>
      <c r="N295" s="1249"/>
      <c r="O295" s="557">
        <f>O296+O297</f>
        <v>800</v>
      </c>
      <c r="P295" s="557">
        <f>P296+P297</f>
        <v>0</v>
      </c>
      <c r="Q295" s="676">
        <f>Q296+Q297</f>
        <v>0</v>
      </c>
    </row>
    <row r="296" spans="2:17" ht="16.5" thickBot="1" x14ac:dyDescent="0.3">
      <c r="B296" s="1204"/>
      <c r="C296" s="1192"/>
      <c r="D296" s="555"/>
      <c r="E296" s="1199"/>
      <c r="F296" s="1201"/>
      <c r="G296" s="1201"/>
      <c r="H296" s="1209"/>
      <c r="I296" s="1199"/>
      <c r="J296" s="1199"/>
      <c r="K296" s="1204"/>
      <c r="L296" s="1204"/>
      <c r="M296" s="636" t="s">
        <v>123</v>
      </c>
      <c r="N296" s="1249"/>
      <c r="O296" s="561">
        <v>0</v>
      </c>
      <c r="P296" s="562">
        <v>0</v>
      </c>
      <c r="Q296" s="550">
        <v>0</v>
      </c>
    </row>
    <row r="297" spans="2:17" ht="16.5" thickBot="1" x14ac:dyDescent="0.3">
      <c r="B297" s="1204"/>
      <c r="C297" s="1192"/>
      <c r="D297" s="555"/>
      <c r="E297" s="1199"/>
      <c r="F297" s="1201"/>
      <c r="G297" s="1201"/>
      <c r="H297" s="1209"/>
      <c r="I297" s="1199"/>
      <c r="J297" s="1199"/>
      <c r="K297" s="1204"/>
      <c r="L297" s="1204"/>
      <c r="M297" s="672" t="s">
        <v>124</v>
      </c>
      <c r="N297" s="1250"/>
      <c r="O297" s="551">
        <v>800</v>
      </c>
      <c r="P297" s="552">
        <v>0</v>
      </c>
      <c r="Q297" s="549">
        <v>0</v>
      </c>
    </row>
    <row r="298" spans="2:17" ht="16.5" thickBot="1" x14ac:dyDescent="0.3">
      <c r="B298" s="1241"/>
      <c r="C298" s="1239"/>
      <c r="D298" s="555"/>
      <c r="E298" s="1237"/>
      <c r="F298" s="1235"/>
      <c r="G298" s="1235"/>
      <c r="H298" s="1291"/>
      <c r="I298" s="1237"/>
      <c r="J298" s="1199"/>
      <c r="K298" s="1204"/>
      <c r="L298" s="1204"/>
      <c r="M298" s="547" t="s">
        <v>745</v>
      </c>
      <c r="N298" s="681"/>
      <c r="O298" s="557">
        <v>0</v>
      </c>
      <c r="P298" s="676">
        <v>0</v>
      </c>
      <c r="Q298" s="563">
        <v>0</v>
      </c>
    </row>
    <row r="299" spans="2:17" ht="16.5" thickBot="1" x14ac:dyDescent="0.3">
      <c r="B299" s="1240" t="s">
        <v>64</v>
      </c>
      <c r="C299" s="1238">
        <v>67321</v>
      </c>
      <c r="D299" s="555">
        <v>27302170</v>
      </c>
      <c r="E299" s="1199" t="s">
        <v>458</v>
      </c>
      <c r="F299" s="1234" t="s">
        <v>930</v>
      </c>
      <c r="G299" s="1234" t="s">
        <v>979</v>
      </c>
      <c r="H299" s="1312" t="s">
        <v>240</v>
      </c>
      <c r="I299" s="1236">
        <v>5</v>
      </c>
      <c r="J299" s="1207" t="s">
        <v>528</v>
      </c>
      <c r="K299" s="1206" t="s">
        <v>199</v>
      </c>
      <c r="L299" s="1206" t="s">
        <v>199</v>
      </c>
      <c r="M299" s="542" t="s">
        <v>122</v>
      </c>
      <c r="N299" s="1248"/>
      <c r="O299" s="551">
        <f>O300+O301</f>
        <v>146.06</v>
      </c>
      <c r="P299" s="551">
        <f>P300+P301</f>
        <v>0</v>
      </c>
      <c r="Q299" s="552">
        <f>Q300+Q301</f>
        <v>0</v>
      </c>
    </row>
    <row r="300" spans="2:17" ht="16.5" thickBot="1" x14ac:dyDescent="0.3">
      <c r="B300" s="1204"/>
      <c r="C300" s="1192"/>
      <c r="D300" s="555"/>
      <c r="E300" s="1199"/>
      <c r="F300" s="1201"/>
      <c r="G300" s="1201"/>
      <c r="H300" s="1209"/>
      <c r="I300" s="1199"/>
      <c r="J300" s="1199"/>
      <c r="K300" s="1204"/>
      <c r="L300" s="1204"/>
      <c r="M300" s="636" t="s">
        <v>123</v>
      </c>
      <c r="N300" s="1249"/>
      <c r="O300" s="561">
        <v>0</v>
      </c>
      <c r="P300" s="562">
        <v>0</v>
      </c>
      <c r="Q300" s="550">
        <v>0</v>
      </c>
    </row>
    <row r="301" spans="2:17" ht="16.5" thickBot="1" x14ac:dyDescent="0.3">
      <c r="B301" s="1204"/>
      <c r="C301" s="1192"/>
      <c r="D301" s="555"/>
      <c r="E301" s="1199"/>
      <c r="F301" s="1201"/>
      <c r="G301" s="1201"/>
      <c r="H301" s="1209"/>
      <c r="I301" s="1199"/>
      <c r="J301" s="1199"/>
      <c r="K301" s="1204"/>
      <c r="L301" s="1204"/>
      <c r="M301" s="672" t="s">
        <v>124</v>
      </c>
      <c r="N301" s="1250"/>
      <c r="O301" s="551">
        <v>146.06</v>
      </c>
      <c r="P301" s="552">
        <v>0</v>
      </c>
      <c r="Q301" s="549">
        <v>0</v>
      </c>
    </row>
    <row r="302" spans="2:17" ht="16.5" thickBot="1" x14ac:dyDescent="0.3">
      <c r="B302" s="1241"/>
      <c r="C302" s="1239"/>
      <c r="D302" s="555"/>
      <c r="E302" s="1237"/>
      <c r="F302" s="1235"/>
      <c r="G302" s="1235"/>
      <c r="H302" s="1291"/>
      <c r="I302" s="1237"/>
      <c r="J302" s="1199"/>
      <c r="K302" s="1204"/>
      <c r="L302" s="1204"/>
      <c r="M302" s="547" t="s">
        <v>745</v>
      </c>
      <c r="N302" s="681"/>
      <c r="O302" s="557">
        <v>0</v>
      </c>
      <c r="P302" s="676">
        <v>0</v>
      </c>
      <c r="Q302" s="563">
        <v>0</v>
      </c>
    </row>
    <row r="303" spans="2:17" ht="16.5" thickBot="1" x14ac:dyDescent="0.3">
      <c r="B303" s="1240" t="s">
        <v>64</v>
      </c>
      <c r="C303" s="1238">
        <v>67321</v>
      </c>
      <c r="D303" s="555">
        <v>27302170</v>
      </c>
      <c r="E303" s="1199" t="s">
        <v>458</v>
      </c>
      <c r="F303" s="1234" t="s">
        <v>925</v>
      </c>
      <c r="G303" s="1234" t="s">
        <v>989</v>
      </c>
      <c r="H303" s="1312" t="s">
        <v>240</v>
      </c>
      <c r="I303" s="1236">
        <v>2</v>
      </c>
      <c r="J303" s="1207" t="s">
        <v>528</v>
      </c>
      <c r="K303" s="1206" t="s">
        <v>199</v>
      </c>
      <c r="L303" s="1206" t="s">
        <v>199</v>
      </c>
      <c r="M303" s="542" t="s">
        <v>122</v>
      </c>
      <c r="N303" s="1248"/>
      <c r="O303" s="551">
        <f>O304+O305</f>
        <v>158.72999999999999</v>
      </c>
      <c r="P303" s="551">
        <f>P304+P305</f>
        <v>0</v>
      </c>
      <c r="Q303" s="552">
        <f>Q304+Q305</f>
        <v>0</v>
      </c>
    </row>
    <row r="304" spans="2:17" ht="16.5" thickBot="1" x14ac:dyDescent="0.3">
      <c r="B304" s="1204"/>
      <c r="C304" s="1192"/>
      <c r="D304" s="555"/>
      <c r="E304" s="1199"/>
      <c r="F304" s="1201"/>
      <c r="G304" s="1201"/>
      <c r="H304" s="1209"/>
      <c r="I304" s="1199"/>
      <c r="J304" s="1199"/>
      <c r="K304" s="1204"/>
      <c r="L304" s="1204"/>
      <c r="M304" s="636" t="s">
        <v>123</v>
      </c>
      <c r="N304" s="1249"/>
      <c r="O304" s="561">
        <v>0</v>
      </c>
      <c r="P304" s="562">
        <v>0</v>
      </c>
      <c r="Q304" s="550">
        <v>0</v>
      </c>
    </row>
    <row r="305" spans="2:17" ht="16.5" thickBot="1" x14ac:dyDescent="0.3">
      <c r="B305" s="1204"/>
      <c r="C305" s="1192"/>
      <c r="D305" s="555"/>
      <c r="E305" s="1199"/>
      <c r="F305" s="1201"/>
      <c r="G305" s="1201"/>
      <c r="H305" s="1209"/>
      <c r="I305" s="1199"/>
      <c r="J305" s="1199"/>
      <c r="K305" s="1204"/>
      <c r="L305" s="1204"/>
      <c r="M305" s="672" t="s">
        <v>124</v>
      </c>
      <c r="N305" s="1250"/>
      <c r="O305" s="551">
        <v>158.72999999999999</v>
      </c>
      <c r="P305" s="552">
        <v>0</v>
      </c>
      <c r="Q305" s="549">
        <v>0</v>
      </c>
    </row>
    <row r="306" spans="2:17" ht="16.5" thickBot="1" x14ac:dyDescent="0.3">
      <c r="B306" s="1241"/>
      <c r="C306" s="1239"/>
      <c r="D306" s="555"/>
      <c r="E306" s="1237"/>
      <c r="F306" s="1235"/>
      <c r="G306" s="1235"/>
      <c r="H306" s="1291"/>
      <c r="I306" s="1237"/>
      <c r="J306" s="1199"/>
      <c r="K306" s="1204"/>
      <c r="L306" s="1204"/>
      <c r="M306" s="547" t="s">
        <v>745</v>
      </c>
      <c r="N306" s="681"/>
      <c r="O306" s="557">
        <v>0</v>
      </c>
      <c r="P306" s="676">
        <v>0</v>
      </c>
      <c r="Q306" s="563">
        <v>0</v>
      </c>
    </row>
    <row r="307" spans="2:17" ht="16.5" customHeight="1" thickBot="1" x14ac:dyDescent="0.3">
      <c r="B307" s="1240" t="s">
        <v>64</v>
      </c>
      <c r="C307" s="1238">
        <v>67321</v>
      </c>
      <c r="D307" s="555"/>
      <c r="E307" s="1236" t="s">
        <v>200</v>
      </c>
      <c r="F307" s="1234" t="s">
        <v>988</v>
      </c>
      <c r="G307" s="1234" t="s">
        <v>190</v>
      </c>
      <c r="H307" s="1312" t="s">
        <v>240</v>
      </c>
      <c r="I307" s="1206" t="s">
        <v>199</v>
      </c>
      <c r="J307" s="1206" t="s">
        <v>199</v>
      </c>
      <c r="K307" s="1206" t="s">
        <v>263</v>
      </c>
      <c r="L307" s="1206" t="s">
        <v>263</v>
      </c>
      <c r="M307" s="542" t="s">
        <v>122</v>
      </c>
      <c r="N307" s="1248"/>
      <c r="O307" s="551">
        <f>O308+O309</f>
        <v>0</v>
      </c>
      <c r="P307" s="551">
        <f>P308+P309</f>
        <v>26824.58</v>
      </c>
      <c r="Q307" s="552">
        <f>Q308+Q309</f>
        <v>39133.07</v>
      </c>
    </row>
    <row r="308" spans="2:17" ht="16.5" thickBot="1" x14ac:dyDescent="0.3">
      <c r="B308" s="1204"/>
      <c r="C308" s="1192"/>
      <c r="D308" s="555"/>
      <c r="E308" s="1199"/>
      <c r="F308" s="1201"/>
      <c r="G308" s="1201"/>
      <c r="H308" s="1209"/>
      <c r="I308" s="1204"/>
      <c r="J308" s="1204"/>
      <c r="K308" s="1204"/>
      <c r="L308" s="1204"/>
      <c r="M308" s="636" t="s">
        <v>123</v>
      </c>
      <c r="N308" s="1249"/>
      <c r="O308" s="561">
        <v>0</v>
      </c>
      <c r="P308" s="562">
        <v>0</v>
      </c>
      <c r="Q308" s="550">
        <v>0</v>
      </c>
    </row>
    <row r="309" spans="2:17" ht="16.5" thickBot="1" x14ac:dyDescent="0.3">
      <c r="B309" s="1204"/>
      <c r="C309" s="1192"/>
      <c r="D309" s="555"/>
      <c r="E309" s="1199"/>
      <c r="F309" s="1201"/>
      <c r="G309" s="1201"/>
      <c r="H309" s="1209"/>
      <c r="I309" s="1204"/>
      <c r="J309" s="1204"/>
      <c r="K309" s="1204"/>
      <c r="L309" s="1204"/>
      <c r="M309" s="672" t="s">
        <v>124</v>
      </c>
      <c r="N309" s="1250"/>
      <c r="O309" s="551">
        <v>0</v>
      </c>
      <c r="P309" s="552">
        <v>26824.58</v>
      </c>
      <c r="Q309" s="549">
        <v>39133.07</v>
      </c>
    </row>
    <row r="310" spans="2:17" ht="16.5" thickBot="1" x14ac:dyDescent="0.3">
      <c r="B310" s="1241"/>
      <c r="C310" s="1239"/>
      <c r="D310" s="555"/>
      <c r="E310" s="1237"/>
      <c r="F310" s="1235"/>
      <c r="G310" s="1235"/>
      <c r="H310" s="1291"/>
      <c r="I310" s="1204"/>
      <c r="J310" s="1204"/>
      <c r="K310" s="1204"/>
      <c r="L310" s="1204"/>
      <c r="M310" s="547" t="s">
        <v>745</v>
      </c>
      <c r="N310" s="681"/>
      <c r="O310" s="557">
        <v>0</v>
      </c>
      <c r="P310" s="676">
        <v>0</v>
      </c>
      <c r="Q310" s="563">
        <v>0</v>
      </c>
    </row>
    <row r="311" spans="2:17" ht="16.5" customHeight="1" thickBot="1" x14ac:dyDescent="0.3">
      <c r="B311" s="1240" t="s">
        <v>64</v>
      </c>
      <c r="C311" s="1238">
        <v>67321</v>
      </c>
      <c r="D311" s="555"/>
      <c r="E311" s="1236" t="s">
        <v>204</v>
      </c>
      <c r="F311" s="1234" t="s">
        <v>853</v>
      </c>
      <c r="G311" s="1234" t="s">
        <v>190</v>
      </c>
      <c r="H311" s="1312" t="s">
        <v>240</v>
      </c>
      <c r="I311" s="1206" t="s">
        <v>199</v>
      </c>
      <c r="J311" s="1206" t="s">
        <v>199</v>
      </c>
      <c r="K311" s="1206" t="s">
        <v>263</v>
      </c>
      <c r="L311" s="1206" t="s">
        <v>263</v>
      </c>
      <c r="M311" s="542" t="s">
        <v>122</v>
      </c>
      <c r="N311" s="1248"/>
      <c r="O311" s="551">
        <f>O312+O313</f>
        <v>0</v>
      </c>
      <c r="P311" s="551">
        <f>P312+P313</f>
        <v>14733.9</v>
      </c>
      <c r="Q311" s="552">
        <f>Q312+Q313</f>
        <v>13450</v>
      </c>
    </row>
    <row r="312" spans="2:17" ht="16.5" thickBot="1" x14ac:dyDescent="0.3">
      <c r="B312" s="1204"/>
      <c r="C312" s="1192"/>
      <c r="D312" s="555"/>
      <c r="E312" s="1199"/>
      <c r="F312" s="1201"/>
      <c r="G312" s="1201"/>
      <c r="H312" s="1209"/>
      <c r="I312" s="1204"/>
      <c r="J312" s="1204"/>
      <c r="K312" s="1204"/>
      <c r="L312" s="1204"/>
      <c r="M312" s="636" t="s">
        <v>123</v>
      </c>
      <c r="N312" s="1249"/>
      <c r="O312" s="561">
        <v>0</v>
      </c>
      <c r="P312" s="562">
        <v>0</v>
      </c>
      <c r="Q312" s="550">
        <v>0</v>
      </c>
    </row>
    <row r="313" spans="2:17" ht="16.5" thickBot="1" x14ac:dyDescent="0.3">
      <c r="B313" s="1204"/>
      <c r="C313" s="1192"/>
      <c r="D313" s="555"/>
      <c r="E313" s="1199"/>
      <c r="F313" s="1201"/>
      <c r="G313" s="1201"/>
      <c r="H313" s="1209"/>
      <c r="I313" s="1204"/>
      <c r="J313" s="1204"/>
      <c r="K313" s="1204"/>
      <c r="L313" s="1204"/>
      <c r="M313" s="672" t="s">
        <v>124</v>
      </c>
      <c r="N313" s="1250"/>
      <c r="O313" s="551">
        <v>0</v>
      </c>
      <c r="P313" s="552">
        <v>14733.9</v>
      </c>
      <c r="Q313" s="549">
        <v>13450</v>
      </c>
    </row>
    <row r="314" spans="2:17" ht="16.5" thickBot="1" x14ac:dyDescent="0.3">
      <c r="B314" s="1241"/>
      <c r="C314" s="1239"/>
      <c r="D314" s="555"/>
      <c r="E314" s="1237"/>
      <c r="F314" s="1235"/>
      <c r="G314" s="1235"/>
      <c r="H314" s="1291"/>
      <c r="I314" s="1204"/>
      <c r="J314" s="1204"/>
      <c r="K314" s="1204"/>
      <c r="L314" s="1204"/>
      <c r="M314" s="547" t="s">
        <v>745</v>
      </c>
      <c r="N314" s="681"/>
      <c r="O314" s="557">
        <v>0</v>
      </c>
      <c r="P314" s="676">
        <v>0</v>
      </c>
      <c r="Q314" s="563">
        <v>0</v>
      </c>
    </row>
    <row r="315" spans="2:17" ht="16.5" thickBot="1" x14ac:dyDescent="0.3">
      <c r="B315" s="1240" t="s">
        <v>64</v>
      </c>
      <c r="C315" s="1238">
        <v>67321</v>
      </c>
      <c r="D315" s="555"/>
      <c r="E315" s="1207" t="s">
        <v>926</v>
      </c>
      <c r="F315" s="1234" t="s">
        <v>991</v>
      </c>
      <c r="G315" s="1234" t="s">
        <v>990</v>
      </c>
      <c r="H315" s="1312" t="s">
        <v>240</v>
      </c>
      <c r="I315" s="1206" t="s">
        <v>199</v>
      </c>
      <c r="J315" s="1206" t="s">
        <v>199</v>
      </c>
      <c r="K315" s="1206" t="s">
        <v>372</v>
      </c>
      <c r="L315" s="1206" t="s">
        <v>199</v>
      </c>
      <c r="M315" s="542" t="s">
        <v>122</v>
      </c>
      <c r="N315" s="1248"/>
      <c r="O315" s="551">
        <f>O316+O317</f>
        <v>0</v>
      </c>
      <c r="P315" s="551">
        <f>P316+P317</f>
        <v>2000</v>
      </c>
      <c r="Q315" s="552">
        <f>Q316+Q317</f>
        <v>0</v>
      </c>
    </row>
    <row r="316" spans="2:17" ht="16.5" thickBot="1" x14ac:dyDescent="0.3">
      <c r="B316" s="1204"/>
      <c r="C316" s="1192"/>
      <c r="D316" s="555"/>
      <c r="E316" s="1199"/>
      <c r="F316" s="1201"/>
      <c r="G316" s="1201"/>
      <c r="H316" s="1209"/>
      <c r="I316" s="1204"/>
      <c r="J316" s="1204"/>
      <c r="K316" s="1204"/>
      <c r="L316" s="1204"/>
      <c r="M316" s="636" t="s">
        <v>123</v>
      </c>
      <c r="N316" s="1249"/>
      <c r="O316" s="561">
        <v>0</v>
      </c>
      <c r="P316" s="562">
        <v>0</v>
      </c>
      <c r="Q316" s="550">
        <v>0</v>
      </c>
    </row>
    <row r="317" spans="2:17" ht="16.5" thickBot="1" x14ac:dyDescent="0.3">
      <c r="B317" s="1204"/>
      <c r="C317" s="1192"/>
      <c r="D317" s="555"/>
      <c r="E317" s="1199"/>
      <c r="F317" s="1201"/>
      <c r="G317" s="1201"/>
      <c r="H317" s="1209"/>
      <c r="I317" s="1204"/>
      <c r="J317" s="1204"/>
      <c r="K317" s="1204"/>
      <c r="L317" s="1204"/>
      <c r="M317" s="672" t="s">
        <v>124</v>
      </c>
      <c r="N317" s="1250"/>
      <c r="O317" s="551">
        <v>0</v>
      </c>
      <c r="P317" s="552">
        <v>2000</v>
      </c>
      <c r="Q317" s="549">
        <v>0</v>
      </c>
    </row>
    <row r="318" spans="2:17" ht="16.5" thickBot="1" x14ac:dyDescent="0.3">
      <c r="B318" s="1241"/>
      <c r="C318" s="1239"/>
      <c r="D318" s="555"/>
      <c r="E318" s="1208"/>
      <c r="F318" s="1235"/>
      <c r="G318" s="1235"/>
      <c r="H318" s="1291"/>
      <c r="I318" s="1204"/>
      <c r="J318" s="1204"/>
      <c r="K318" s="1204"/>
      <c r="L318" s="1204"/>
      <c r="M318" s="547" t="s">
        <v>745</v>
      </c>
      <c r="N318" s="681"/>
      <c r="O318" s="557">
        <v>0</v>
      </c>
      <c r="P318" s="676">
        <v>0</v>
      </c>
      <c r="Q318" s="563">
        <v>0</v>
      </c>
    </row>
    <row r="319" spans="2:17" ht="16.5" thickBot="1" x14ac:dyDescent="0.3">
      <c r="B319" s="1240" t="s">
        <v>64</v>
      </c>
      <c r="C319" s="1238">
        <v>67321</v>
      </c>
      <c r="D319" s="555"/>
      <c r="E319" s="1207" t="s">
        <v>926</v>
      </c>
      <c r="F319" s="1234" t="s">
        <v>925</v>
      </c>
      <c r="G319" s="1234" t="s">
        <v>989</v>
      </c>
      <c r="H319" s="1312" t="s">
        <v>240</v>
      </c>
      <c r="I319" s="1206" t="s">
        <v>199</v>
      </c>
      <c r="J319" s="1206" t="s">
        <v>199</v>
      </c>
      <c r="K319" s="1206" t="s">
        <v>374</v>
      </c>
      <c r="L319" s="1206" t="s">
        <v>199</v>
      </c>
      <c r="M319" s="542" t="s">
        <v>122</v>
      </c>
      <c r="N319" s="1248"/>
      <c r="O319" s="551">
        <f>O320+O321</f>
        <v>0</v>
      </c>
      <c r="P319" s="551">
        <f>P320+P321</f>
        <v>170</v>
      </c>
      <c r="Q319" s="552">
        <f>Q320+Q321</f>
        <v>0</v>
      </c>
    </row>
    <row r="320" spans="2:17" ht="16.5" thickBot="1" x14ac:dyDescent="0.3">
      <c r="B320" s="1204"/>
      <c r="C320" s="1192"/>
      <c r="D320" s="555"/>
      <c r="E320" s="1199"/>
      <c r="F320" s="1201"/>
      <c r="G320" s="1201"/>
      <c r="H320" s="1209"/>
      <c r="I320" s="1204"/>
      <c r="J320" s="1204"/>
      <c r="K320" s="1204"/>
      <c r="L320" s="1204"/>
      <c r="M320" s="636" t="s">
        <v>123</v>
      </c>
      <c r="N320" s="1249"/>
      <c r="O320" s="561">
        <v>0</v>
      </c>
      <c r="P320" s="562">
        <v>0</v>
      </c>
      <c r="Q320" s="550">
        <v>0</v>
      </c>
    </row>
    <row r="321" spans="2:29" ht="16.5" thickBot="1" x14ac:dyDescent="0.3">
      <c r="B321" s="1204"/>
      <c r="C321" s="1192"/>
      <c r="D321" s="555"/>
      <c r="E321" s="1199"/>
      <c r="F321" s="1201"/>
      <c r="G321" s="1201"/>
      <c r="H321" s="1209"/>
      <c r="I321" s="1204"/>
      <c r="J321" s="1204"/>
      <c r="K321" s="1204"/>
      <c r="L321" s="1204"/>
      <c r="M321" s="672" t="s">
        <v>124</v>
      </c>
      <c r="N321" s="1250"/>
      <c r="O321" s="551">
        <v>0</v>
      </c>
      <c r="P321" s="552">
        <v>170</v>
      </c>
      <c r="Q321" s="549">
        <v>0</v>
      </c>
    </row>
    <row r="322" spans="2:29" ht="16.5" thickBot="1" x14ac:dyDescent="0.3">
      <c r="B322" s="1241"/>
      <c r="C322" s="1239"/>
      <c r="D322" s="555"/>
      <c r="E322" s="1208"/>
      <c r="F322" s="1235"/>
      <c r="G322" s="1235"/>
      <c r="H322" s="1291"/>
      <c r="I322" s="1204"/>
      <c r="J322" s="1204"/>
      <c r="K322" s="1204"/>
      <c r="L322" s="1204"/>
      <c r="M322" s="547" t="s">
        <v>745</v>
      </c>
      <c r="N322" s="681"/>
      <c r="O322" s="557">
        <v>0</v>
      </c>
      <c r="P322" s="676">
        <v>0</v>
      </c>
      <c r="Q322" s="563">
        <v>0</v>
      </c>
    </row>
    <row r="323" spans="2:29" ht="16.5" thickBot="1" x14ac:dyDescent="0.3">
      <c r="B323" s="1240" t="s">
        <v>64</v>
      </c>
      <c r="C323" s="1238">
        <v>67321</v>
      </c>
      <c r="D323" s="555"/>
      <c r="E323" s="1207" t="s">
        <v>926</v>
      </c>
      <c r="F323" s="1234" t="s">
        <v>992</v>
      </c>
      <c r="G323" s="1207" t="s">
        <v>755</v>
      </c>
      <c r="H323" s="1232" t="s">
        <v>240</v>
      </c>
      <c r="I323" s="1206" t="s">
        <v>199</v>
      </c>
      <c r="J323" s="1206" t="s">
        <v>199</v>
      </c>
      <c r="K323" s="1206" t="s">
        <v>374</v>
      </c>
      <c r="L323" s="1206" t="s">
        <v>199</v>
      </c>
      <c r="M323" s="542" t="s">
        <v>122</v>
      </c>
      <c r="N323" s="1248"/>
      <c r="O323" s="551">
        <f>O324+O325</f>
        <v>0</v>
      </c>
      <c r="P323" s="551">
        <f>P324+P325</f>
        <v>175</v>
      </c>
      <c r="Q323" s="552">
        <f>Q324+Q325</f>
        <v>0</v>
      </c>
    </row>
    <row r="324" spans="2:29" ht="16.5" thickBot="1" x14ac:dyDescent="0.3">
      <c r="B324" s="1204"/>
      <c r="C324" s="1192"/>
      <c r="D324" s="555"/>
      <c r="E324" s="1199"/>
      <c r="F324" s="1201"/>
      <c r="G324" s="1199"/>
      <c r="H324" s="1209"/>
      <c r="I324" s="1204"/>
      <c r="J324" s="1204"/>
      <c r="K324" s="1204"/>
      <c r="L324" s="1204"/>
      <c r="M324" s="636" t="s">
        <v>123</v>
      </c>
      <c r="N324" s="1249"/>
      <c r="O324" s="561">
        <v>0</v>
      </c>
      <c r="P324" s="562">
        <v>0</v>
      </c>
      <c r="Q324" s="550">
        <v>0</v>
      </c>
    </row>
    <row r="325" spans="2:29" ht="16.5" thickBot="1" x14ac:dyDescent="0.3">
      <c r="B325" s="1204"/>
      <c r="C325" s="1192"/>
      <c r="D325" s="555"/>
      <c r="E325" s="1199"/>
      <c r="F325" s="1201"/>
      <c r="G325" s="1199"/>
      <c r="H325" s="1209"/>
      <c r="I325" s="1204"/>
      <c r="J325" s="1204"/>
      <c r="K325" s="1204"/>
      <c r="L325" s="1204"/>
      <c r="M325" s="672" t="s">
        <v>124</v>
      </c>
      <c r="N325" s="1250"/>
      <c r="O325" s="551">
        <v>0</v>
      </c>
      <c r="P325" s="552">
        <v>175</v>
      </c>
      <c r="Q325" s="549">
        <v>0</v>
      </c>
    </row>
    <row r="326" spans="2:29" ht="16.5" thickBot="1" x14ac:dyDescent="0.3">
      <c r="B326" s="1241"/>
      <c r="C326" s="1239"/>
      <c r="D326" s="555"/>
      <c r="E326" s="1208"/>
      <c r="F326" s="1235"/>
      <c r="G326" s="1208"/>
      <c r="H326" s="1210"/>
      <c r="I326" s="1204"/>
      <c r="J326" s="1204"/>
      <c r="K326" s="1204"/>
      <c r="L326" s="1204"/>
      <c r="M326" s="547" t="s">
        <v>745</v>
      </c>
      <c r="N326" s="681"/>
      <c r="O326" s="557">
        <v>0</v>
      </c>
      <c r="P326" s="676">
        <v>0</v>
      </c>
      <c r="Q326" s="563">
        <v>0</v>
      </c>
    </row>
    <row r="327" spans="2:29" s="48" customFormat="1" ht="16.5" thickBot="1" x14ac:dyDescent="0.3">
      <c r="B327" s="1240" t="s">
        <v>64</v>
      </c>
      <c r="C327" s="1238">
        <v>67321</v>
      </c>
      <c r="D327" s="555"/>
      <c r="E327" s="1236" t="s">
        <v>575</v>
      </c>
      <c r="F327" s="1234" t="s">
        <v>930</v>
      </c>
      <c r="G327" s="1234" t="s">
        <v>979</v>
      </c>
      <c r="H327" s="1312" t="s">
        <v>240</v>
      </c>
      <c r="I327" s="1206" t="s">
        <v>199</v>
      </c>
      <c r="J327" s="1206" t="s">
        <v>199</v>
      </c>
      <c r="K327" s="1206" t="s">
        <v>786</v>
      </c>
      <c r="L327" s="1206" t="s">
        <v>199</v>
      </c>
      <c r="M327" s="542" t="s">
        <v>122</v>
      </c>
      <c r="N327" s="1248"/>
      <c r="O327" s="551">
        <f>O328+O329</f>
        <v>0</v>
      </c>
      <c r="P327" s="551">
        <f>P328+P329</f>
        <v>100</v>
      </c>
      <c r="Q327" s="552">
        <f>Q328+Q329</f>
        <v>0</v>
      </c>
      <c r="R327" s="707"/>
      <c r="S327" s="707"/>
      <c r="T327" s="707"/>
      <c r="U327" s="707"/>
      <c r="V327" s="707"/>
      <c r="W327" s="707"/>
      <c r="X327" s="707"/>
      <c r="Y327" s="707"/>
      <c r="Z327" s="686"/>
      <c r="AA327" s="686"/>
      <c r="AB327" s="686"/>
      <c r="AC327" s="707"/>
    </row>
    <row r="328" spans="2:29" s="48" customFormat="1" ht="16.5" thickBot="1" x14ac:dyDescent="0.3">
      <c r="B328" s="1204"/>
      <c r="C328" s="1192"/>
      <c r="D328" s="555"/>
      <c r="E328" s="1199"/>
      <c r="F328" s="1201"/>
      <c r="G328" s="1201"/>
      <c r="H328" s="1209"/>
      <c r="I328" s="1204"/>
      <c r="J328" s="1204"/>
      <c r="K328" s="1204"/>
      <c r="L328" s="1204"/>
      <c r="M328" s="636" t="s">
        <v>123</v>
      </c>
      <c r="N328" s="1249"/>
      <c r="O328" s="561">
        <v>0</v>
      </c>
      <c r="P328" s="562">
        <v>0</v>
      </c>
      <c r="Q328" s="550">
        <v>0</v>
      </c>
      <c r="R328" s="707"/>
      <c r="S328" s="707"/>
      <c r="T328" s="707"/>
      <c r="U328" s="707"/>
      <c r="V328" s="707"/>
      <c r="W328" s="707"/>
      <c r="X328" s="707"/>
      <c r="Y328" s="707"/>
      <c r="Z328" s="686"/>
      <c r="AA328" s="686"/>
      <c r="AB328" s="686"/>
      <c r="AC328" s="707"/>
    </row>
    <row r="329" spans="2:29" s="48" customFormat="1" ht="16.5" thickBot="1" x14ac:dyDescent="0.3">
      <c r="B329" s="1204"/>
      <c r="C329" s="1192"/>
      <c r="D329" s="555"/>
      <c r="E329" s="1199"/>
      <c r="F329" s="1201"/>
      <c r="G329" s="1201"/>
      <c r="H329" s="1209"/>
      <c r="I329" s="1204"/>
      <c r="J329" s="1204"/>
      <c r="K329" s="1204"/>
      <c r="L329" s="1204"/>
      <c r="M329" s="672" t="s">
        <v>124</v>
      </c>
      <c r="N329" s="1250"/>
      <c r="O329" s="551">
        <v>0</v>
      </c>
      <c r="P329" s="552">
        <v>100</v>
      </c>
      <c r="Q329" s="549">
        <v>0</v>
      </c>
      <c r="R329" s="707"/>
      <c r="S329" s="707"/>
      <c r="T329" s="707"/>
      <c r="U329" s="707"/>
      <c r="V329" s="707"/>
      <c r="W329" s="707"/>
      <c r="X329" s="707"/>
      <c r="Y329" s="707"/>
      <c r="Z329" s="686"/>
      <c r="AA329" s="686"/>
      <c r="AB329" s="686"/>
      <c r="AC329" s="707"/>
    </row>
    <row r="330" spans="2:29" s="48" customFormat="1" ht="16.5" thickBot="1" x14ac:dyDescent="0.3">
      <c r="B330" s="1241"/>
      <c r="C330" s="1239"/>
      <c r="D330" s="555"/>
      <c r="E330" s="1237"/>
      <c r="F330" s="1235"/>
      <c r="G330" s="1235"/>
      <c r="H330" s="1291"/>
      <c r="I330" s="1204"/>
      <c r="J330" s="1204"/>
      <c r="K330" s="1204"/>
      <c r="L330" s="1204"/>
      <c r="M330" s="547" t="s">
        <v>745</v>
      </c>
      <c r="N330" s="681"/>
      <c r="O330" s="557">
        <v>0</v>
      </c>
      <c r="P330" s="676">
        <v>0</v>
      </c>
      <c r="Q330" s="563">
        <v>0</v>
      </c>
      <c r="R330" s="707"/>
      <c r="S330" s="707"/>
      <c r="T330" s="707"/>
      <c r="U330" s="707"/>
      <c r="V330" s="707"/>
      <c r="W330" s="707"/>
      <c r="X330" s="707"/>
      <c r="Y330" s="707"/>
      <c r="Z330" s="686"/>
      <c r="AA330" s="686"/>
      <c r="AB330" s="686"/>
      <c r="AC330" s="707"/>
    </row>
    <row r="331" spans="2:29" s="48" customFormat="1" ht="16.5" thickBot="1" x14ac:dyDescent="0.3">
      <c r="B331" s="1240" t="s">
        <v>64</v>
      </c>
      <c r="C331" s="1238">
        <v>67321</v>
      </c>
      <c r="D331" s="555"/>
      <c r="E331" s="1236" t="s">
        <v>575</v>
      </c>
      <c r="F331" s="1234" t="s">
        <v>934</v>
      </c>
      <c r="G331" s="1234" t="s">
        <v>935</v>
      </c>
      <c r="H331" s="1312" t="s">
        <v>240</v>
      </c>
      <c r="I331" s="1206" t="s">
        <v>199</v>
      </c>
      <c r="J331" s="1206" t="s">
        <v>199</v>
      </c>
      <c r="K331" s="1206" t="s">
        <v>741</v>
      </c>
      <c r="L331" s="1206" t="s">
        <v>199</v>
      </c>
      <c r="M331" s="542" t="s">
        <v>122</v>
      </c>
      <c r="N331" s="1248"/>
      <c r="O331" s="551">
        <f>O332+O333</f>
        <v>0</v>
      </c>
      <c r="P331" s="551">
        <f>P332+P333</f>
        <v>600</v>
      </c>
      <c r="Q331" s="552">
        <f>Q332+Q333</f>
        <v>0</v>
      </c>
      <c r="R331" s="707"/>
      <c r="S331" s="707"/>
      <c r="T331" s="707"/>
      <c r="U331" s="707"/>
      <c r="V331" s="707"/>
      <c r="W331" s="707"/>
      <c r="X331" s="707"/>
      <c r="Y331" s="707"/>
      <c r="Z331" s="686"/>
      <c r="AA331" s="686"/>
      <c r="AB331" s="686"/>
      <c r="AC331" s="707"/>
    </row>
    <row r="332" spans="2:29" s="48" customFormat="1" ht="16.5" thickBot="1" x14ac:dyDescent="0.3">
      <c r="B332" s="1204"/>
      <c r="C332" s="1192"/>
      <c r="D332" s="555"/>
      <c r="E332" s="1199"/>
      <c r="F332" s="1201"/>
      <c r="G332" s="1201"/>
      <c r="H332" s="1209"/>
      <c r="I332" s="1204"/>
      <c r="J332" s="1204"/>
      <c r="K332" s="1204"/>
      <c r="L332" s="1204"/>
      <c r="M332" s="636" t="s">
        <v>123</v>
      </c>
      <c r="N332" s="1249"/>
      <c r="O332" s="561">
        <v>0</v>
      </c>
      <c r="P332" s="562">
        <v>0</v>
      </c>
      <c r="Q332" s="550">
        <v>0</v>
      </c>
      <c r="R332" s="707"/>
      <c r="S332" s="707"/>
      <c r="T332" s="707"/>
      <c r="U332" s="707"/>
      <c r="V332" s="707"/>
      <c r="W332" s="707"/>
      <c r="X332" s="707"/>
      <c r="Y332" s="707"/>
      <c r="Z332" s="686"/>
      <c r="AA332" s="686"/>
      <c r="AB332" s="686"/>
      <c r="AC332" s="707"/>
    </row>
    <row r="333" spans="2:29" s="48" customFormat="1" ht="16.5" thickBot="1" x14ac:dyDescent="0.3">
      <c r="B333" s="1204"/>
      <c r="C333" s="1192"/>
      <c r="D333" s="555"/>
      <c r="E333" s="1199"/>
      <c r="F333" s="1201"/>
      <c r="G333" s="1201"/>
      <c r="H333" s="1209"/>
      <c r="I333" s="1204"/>
      <c r="J333" s="1204"/>
      <c r="K333" s="1204"/>
      <c r="L333" s="1204"/>
      <c r="M333" s="672" t="s">
        <v>124</v>
      </c>
      <c r="N333" s="1250"/>
      <c r="O333" s="551">
        <v>0</v>
      </c>
      <c r="P333" s="552">
        <v>600</v>
      </c>
      <c r="Q333" s="549">
        <v>0</v>
      </c>
      <c r="R333" s="707"/>
      <c r="S333" s="707"/>
      <c r="T333" s="707"/>
      <c r="U333" s="707"/>
      <c r="V333" s="707"/>
      <c r="W333" s="707"/>
      <c r="X333" s="707"/>
      <c r="Y333" s="707"/>
      <c r="Z333" s="686"/>
      <c r="AA333" s="686"/>
      <c r="AB333" s="686"/>
      <c r="AC333" s="707"/>
    </row>
    <row r="334" spans="2:29" s="48" customFormat="1" ht="16.5" thickBot="1" x14ac:dyDescent="0.3">
      <c r="B334" s="1241"/>
      <c r="C334" s="1239"/>
      <c r="D334" s="555"/>
      <c r="E334" s="1237"/>
      <c r="F334" s="1235"/>
      <c r="G334" s="1235"/>
      <c r="H334" s="1291"/>
      <c r="I334" s="1204"/>
      <c r="J334" s="1204"/>
      <c r="K334" s="1204"/>
      <c r="L334" s="1204"/>
      <c r="M334" s="547" t="s">
        <v>745</v>
      </c>
      <c r="N334" s="681"/>
      <c r="O334" s="557">
        <v>0</v>
      </c>
      <c r="P334" s="676">
        <v>0</v>
      </c>
      <c r="Q334" s="563">
        <v>0</v>
      </c>
      <c r="R334" s="707"/>
      <c r="S334" s="707"/>
      <c r="T334" s="707"/>
      <c r="U334" s="707"/>
      <c r="V334" s="707"/>
      <c r="W334" s="707"/>
      <c r="X334" s="707"/>
      <c r="Y334" s="707"/>
      <c r="Z334" s="686"/>
      <c r="AA334" s="686"/>
      <c r="AB334" s="686"/>
      <c r="AC334" s="707"/>
    </row>
    <row r="335" spans="2:29" s="48" customFormat="1" ht="16.5" thickBot="1" x14ac:dyDescent="0.3">
      <c r="B335" s="1240" t="s">
        <v>64</v>
      </c>
      <c r="C335" s="1238">
        <v>67321</v>
      </c>
      <c r="D335" s="555"/>
      <c r="E335" s="1236" t="s">
        <v>984</v>
      </c>
      <c r="F335" s="1234" t="s">
        <v>993</v>
      </c>
      <c r="G335" s="1234" t="s">
        <v>995</v>
      </c>
      <c r="H335" s="1312" t="s">
        <v>240</v>
      </c>
      <c r="I335" s="1206" t="s">
        <v>199</v>
      </c>
      <c r="J335" s="1206" t="s">
        <v>199</v>
      </c>
      <c r="K335" s="1206" t="s">
        <v>263</v>
      </c>
      <c r="L335" s="1206" t="s">
        <v>199</v>
      </c>
      <c r="M335" s="542" t="s">
        <v>122</v>
      </c>
      <c r="N335" s="1248"/>
      <c r="O335" s="551">
        <f>O336+O337</f>
        <v>0</v>
      </c>
      <c r="P335" s="551">
        <f>P336+P337</f>
        <v>20</v>
      </c>
      <c r="Q335" s="552">
        <f>Q336+Q337</f>
        <v>0</v>
      </c>
      <c r="R335" s="707"/>
      <c r="S335" s="707"/>
      <c r="T335" s="707"/>
      <c r="U335" s="707"/>
      <c r="V335" s="707"/>
      <c r="W335" s="707"/>
      <c r="X335" s="707"/>
      <c r="Y335" s="707"/>
      <c r="Z335" s="686"/>
      <c r="AA335" s="686"/>
      <c r="AB335" s="686"/>
      <c r="AC335" s="707"/>
    </row>
    <row r="336" spans="2:29" s="48" customFormat="1" ht="16.5" thickBot="1" x14ac:dyDescent="0.3">
      <c r="B336" s="1204"/>
      <c r="C336" s="1192"/>
      <c r="D336" s="555"/>
      <c r="E336" s="1199"/>
      <c r="F336" s="1201"/>
      <c r="G336" s="1201"/>
      <c r="H336" s="1209"/>
      <c r="I336" s="1204"/>
      <c r="J336" s="1204"/>
      <c r="K336" s="1204"/>
      <c r="L336" s="1204"/>
      <c r="M336" s="636" t="s">
        <v>123</v>
      </c>
      <c r="N336" s="1249"/>
      <c r="O336" s="561">
        <v>0</v>
      </c>
      <c r="P336" s="562">
        <v>0</v>
      </c>
      <c r="Q336" s="550">
        <v>0</v>
      </c>
      <c r="R336" s="707"/>
      <c r="S336" s="707"/>
      <c r="T336" s="707"/>
      <c r="U336" s="707"/>
      <c r="V336" s="707"/>
      <c r="W336" s="707"/>
      <c r="X336" s="707"/>
      <c r="Y336" s="707"/>
      <c r="Z336" s="686"/>
      <c r="AA336" s="686"/>
      <c r="AB336" s="686"/>
      <c r="AC336" s="707"/>
    </row>
    <row r="337" spans="2:29" s="48" customFormat="1" ht="16.5" thickBot="1" x14ac:dyDescent="0.3">
      <c r="B337" s="1204"/>
      <c r="C337" s="1192"/>
      <c r="D337" s="555"/>
      <c r="E337" s="1199"/>
      <c r="F337" s="1201"/>
      <c r="G337" s="1201"/>
      <c r="H337" s="1209"/>
      <c r="I337" s="1204"/>
      <c r="J337" s="1204"/>
      <c r="K337" s="1204"/>
      <c r="L337" s="1204"/>
      <c r="M337" s="672" t="s">
        <v>124</v>
      </c>
      <c r="N337" s="1250"/>
      <c r="O337" s="551">
        <v>0</v>
      </c>
      <c r="P337" s="552">
        <v>20</v>
      </c>
      <c r="Q337" s="549">
        <v>0</v>
      </c>
      <c r="R337" s="707"/>
      <c r="S337" s="707"/>
      <c r="T337" s="707"/>
      <c r="U337" s="707"/>
      <c r="V337" s="707"/>
      <c r="W337" s="707"/>
      <c r="X337" s="707"/>
      <c r="Y337" s="707"/>
      <c r="Z337" s="686"/>
      <c r="AA337" s="686"/>
      <c r="AB337" s="686"/>
      <c r="AC337" s="707"/>
    </row>
    <row r="338" spans="2:29" s="48" customFormat="1" ht="16.5" thickBot="1" x14ac:dyDescent="0.3">
      <c r="B338" s="1241"/>
      <c r="C338" s="1239"/>
      <c r="D338" s="555"/>
      <c r="E338" s="1237"/>
      <c r="F338" s="1235"/>
      <c r="G338" s="1235"/>
      <c r="H338" s="1291"/>
      <c r="I338" s="1204"/>
      <c r="J338" s="1204"/>
      <c r="K338" s="1204"/>
      <c r="L338" s="1204"/>
      <c r="M338" s="547" t="s">
        <v>745</v>
      </c>
      <c r="N338" s="681"/>
      <c r="O338" s="557">
        <v>0</v>
      </c>
      <c r="P338" s="676">
        <v>0</v>
      </c>
      <c r="Q338" s="563">
        <v>0</v>
      </c>
      <c r="R338" s="707"/>
      <c r="S338" s="707"/>
      <c r="T338" s="707"/>
      <c r="U338" s="707"/>
      <c r="V338" s="707"/>
      <c r="W338" s="707"/>
      <c r="X338" s="707"/>
      <c r="Y338" s="707"/>
      <c r="Z338" s="686"/>
      <c r="AA338" s="686"/>
      <c r="AB338" s="686"/>
      <c r="AC338" s="707"/>
    </row>
    <row r="339" spans="2:29" s="48" customFormat="1" ht="16.5" thickBot="1" x14ac:dyDescent="0.3">
      <c r="B339" s="1240" t="s">
        <v>64</v>
      </c>
      <c r="C339" s="1238">
        <v>67321</v>
      </c>
      <c r="D339" s="555"/>
      <c r="E339" s="1236" t="s">
        <v>984</v>
      </c>
      <c r="F339" s="1234" t="s">
        <v>994</v>
      </c>
      <c r="G339" s="1236" t="s">
        <v>996</v>
      </c>
      <c r="H339" s="1312" t="s">
        <v>240</v>
      </c>
      <c r="I339" s="1206" t="s">
        <v>199</v>
      </c>
      <c r="J339" s="1206" t="s">
        <v>199</v>
      </c>
      <c r="K339" s="1240" t="s">
        <v>997</v>
      </c>
      <c r="L339" s="1206" t="s">
        <v>199</v>
      </c>
      <c r="M339" s="542" t="s">
        <v>122</v>
      </c>
      <c r="N339" s="1248"/>
      <c r="O339" s="551">
        <f>O340+O341</f>
        <v>0</v>
      </c>
      <c r="P339" s="551">
        <f>P340+P341</f>
        <v>900</v>
      </c>
      <c r="Q339" s="552">
        <f>Q340+Q341</f>
        <v>0</v>
      </c>
      <c r="R339" s="707"/>
      <c r="S339" s="707"/>
      <c r="T339" s="707"/>
      <c r="U339" s="707"/>
      <c r="V339" s="707"/>
      <c r="W339" s="707"/>
      <c r="X339" s="707"/>
      <c r="Y339" s="707"/>
      <c r="Z339" s="686"/>
      <c r="AA339" s="686"/>
      <c r="AB339" s="686"/>
      <c r="AC339" s="707"/>
    </row>
    <row r="340" spans="2:29" s="48" customFormat="1" ht="16.5" thickBot="1" x14ac:dyDescent="0.3">
      <c r="B340" s="1204"/>
      <c r="C340" s="1192"/>
      <c r="D340" s="555"/>
      <c r="E340" s="1199"/>
      <c r="F340" s="1201"/>
      <c r="G340" s="1199"/>
      <c r="H340" s="1209"/>
      <c r="I340" s="1204"/>
      <c r="J340" s="1204"/>
      <c r="K340" s="1204"/>
      <c r="L340" s="1204"/>
      <c r="M340" s="636" t="s">
        <v>123</v>
      </c>
      <c r="N340" s="1249"/>
      <c r="O340" s="561">
        <v>0</v>
      </c>
      <c r="P340" s="562">
        <v>0</v>
      </c>
      <c r="Q340" s="550">
        <v>0</v>
      </c>
      <c r="R340" s="707"/>
      <c r="S340" s="707"/>
      <c r="T340" s="707"/>
      <c r="U340" s="707"/>
      <c r="V340" s="707"/>
      <c r="W340" s="707"/>
      <c r="X340" s="707"/>
      <c r="Y340" s="707"/>
      <c r="Z340" s="686"/>
      <c r="AA340" s="686"/>
      <c r="AB340" s="686"/>
      <c r="AC340" s="707"/>
    </row>
    <row r="341" spans="2:29" s="48" customFormat="1" ht="16.5" thickBot="1" x14ac:dyDescent="0.3">
      <c r="B341" s="1204"/>
      <c r="C341" s="1192"/>
      <c r="D341" s="555"/>
      <c r="E341" s="1199"/>
      <c r="F341" s="1201"/>
      <c r="G341" s="1199"/>
      <c r="H341" s="1209"/>
      <c r="I341" s="1204"/>
      <c r="J341" s="1204"/>
      <c r="K341" s="1204"/>
      <c r="L341" s="1204"/>
      <c r="M341" s="672" t="s">
        <v>124</v>
      </c>
      <c r="N341" s="1250"/>
      <c r="O341" s="551">
        <v>0</v>
      </c>
      <c r="P341" s="552">
        <v>900</v>
      </c>
      <c r="Q341" s="549">
        <v>0</v>
      </c>
      <c r="R341" s="707"/>
      <c r="S341" s="707"/>
      <c r="T341" s="707"/>
      <c r="U341" s="707"/>
      <c r="V341" s="707"/>
      <c r="W341" s="707"/>
      <c r="X341" s="707"/>
      <c r="Y341" s="707"/>
      <c r="Z341" s="686"/>
      <c r="AA341" s="686"/>
      <c r="AB341" s="686"/>
      <c r="AC341" s="707"/>
    </row>
    <row r="342" spans="2:29" s="48" customFormat="1" ht="16.5" thickBot="1" x14ac:dyDescent="0.3">
      <c r="B342" s="1205"/>
      <c r="C342" s="1239"/>
      <c r="D342" s="680"/>
      <c r="E342" s="1237"/>
      <c r="F342" s="1201"/>
      <c r="G342" s="1199"/>
      <c r="H342" s="1209"/>
      <c r="I342" s="1204"/>
      <c r="J342" s="1204"/>
      <c r="K342" s="1204"/>
      <c r="L342" s="1204"/>
      <c r="M342" s="671" t="s">
        <v>745</v>
      </c>
      <c r="N342" s="690"/>
      <c r="O342" s="561">
        <v>0</v>
      </c>
      <c r="P342" s="562">
        <v>0</v>
      </c>
      <c r="Q342" s="550">
        <v>0</v>
      </c>
      <c r="R342" s="707"/>
      <c r="S342" s="707"/>
      <c r="T342" s="707"/>
      <c r="U342" s="707"/>
      <c r="V342" s="707"/>
      <c r="W342" s="707"/>
      <c r="X342" s="707"/>
      <c r="Y342" s="707"/>
      <c r="Z342" s="686"/>
      <c r="AA342" s="686"/>
      <c r="AB342" s="686"/>
      <c r="AC342" s="707"/>
    </row>
    <row r="343" spans="2:29" s="48" customFormat="1" ht="16.5" thickBot="1" x14ac:dyDescent="0.3">
      <c r="B343" s="1240" t="s">
        <v>64</v>
      </c>
      <c r="C343" s="1238">
        <v>67321</v>
      </c>
      <c r="D343" s="555"/>
      <c r="E343" s="1207" t="s">
        <v>383</v>
      </c>
      <c r="F343" s="1234" t="s">
        <v>760</v>
      </c>
      <c r="G343" s="1207" t="s">
        <v>190</v>
      </c>
      <c r="H343" s="1232" t="s">
        <v>240</v>
      </c>
      <c r="I343" s="1206" t="s">
        <v>199</v>
      </c>
      <c r="J343" s="1206" t="s">
        <v>199</v>
      </c>
      <c r="K343" s="1206" t="s">
        <v>199</v>
      </c>
      <c r="L343" s="1206" t="s">
        <v>263</v>
      </c>
      <c r="M343" s="542" t="s">
        <v>122</v>
      </c>
      <c r="N343" s="1248"/>
      <c r="O343" s="551">
        <f>O344+O345</f>
        <v>0</v>
      </c>
      <c r="P343" s="551">
        <f>P344+P345</f>
        <v>0</v>
      </c>
      <c r="Q343" s="552">
        <f>Q344+Q345</f>
        <v>6000</v>
      </c>
      <c r="R343" s="707"/>
      <c r="S343" s="707"/>
      <c r="T343" s="707"/>
      <c r="U343" s="707"/>
      <c r="V343" s="707"/>
      <c r="W343" s="707"/>
      <c r="X343" s="707"/>
      <c r="Y343" s="707"/>
      <c r="Z343" s="686"/>
      <c r="AA343" s="686"/>
      <c r="AB343" s="686"/>
      <c r="AC343" s="707"/>
    </row>
    <row r="344" spans="2:29" s="48" customFormat="1" ht="16.5" thickBot="1" x14ac:dyDescent="0.3">
      <c r="B344" s="1204"/>
      <c r="C344" s="1192"/>
      <c r="D344" s="555"/>
      <c r="E344" s="1199"/>
      <c r="F344" s="1201"/>
      <c r="G344" s="1199"/>
      <c r="H344" s="1209"/>
      <c r="I344" s="1204"/>
      <c r="J344" s="1204"/>
      <c r="K344" s="1204"/>
      <c r="L344" s="1204"/>
      <c r="M344" s="636" t="s">
        <v>123</v>
      </c>
      <c r="N344" s="1249"/>
      <c r="O344" s="561">
        <v>0</v>
      </c>
      <c r="P344" s="562">
        <v>0</v>
      </c>
      <c r="Q344" s="550">
        <v>0</v>
      </c>
      <c r="R344" s="707"/>
      <c r="S344" s="707"/>
      <c r="T344" s="707"/>
      <c r="U344" s="707"/>
      <c r="V344" s="707"/>
      <c r="W344" s="707"/>
      <c r="X344" s="707"/>
      <c r="Y344" s="707"/>
      <c r="Z344" s="686"/>
      <c r="AA344" s="686"/>
      <c r="AB344" s="686"/>
      <c r="AC344" s="707"/>
    </row>
    <row r="345" spans="2:29" s="48" customFormat="1" ht="16.5" thickBot="1" x14ac:dyDescent="0.3">
      <c r="B345" s="1204"/>
      <c r="C345" s="1192"/>
      <c r="D345" s="555"/>
      <c r="E345" s="1199"/>
      <c r="F345" s="1201"/>
      <c r="G345" s="1199"/>
      <c r="H345" s="1209"/>
      <c r="I345" s="1204"/>
      <c r="J345" s="1204"/>
      <c r="K345" s="1204"/>
      <c r="L345" s="1204"/>
      <c r="M345" s="672" t="s">
        <v>124</v>
      </c>
      <c r="N345" s="1250"/>
      <c r="O345" s="551">
        <v>0</v>
      </c>
      <c r="P345" s="552">
        <v>0</v>
      </c>
      <c r="Q345" s="549">
        <v>6000</v>
      </c>
      <c r="R345" s="707"/>
      <c r="S345" s="707"/>
      <c r="T345" s="707"/>
      <c r="U345" s="707"/>
      <c r="V345" s="707"/>
      <c r="W345" s="707"/>
      <c r="X345" s="707"/>
      <c r="Y345" s="707"/>
      <c r="Z345" s="686"/>
      <c r="AA345" s="686"/>
      <c r="AB345" s="686"/>
      <c r="AC345" s="707"/>
    </row>
    <row r="346" spans="2:29" s="48" customFormat="1" ht="16.5" thickBot="1" x14ac:dyDescent="0.3">
      <c r="B346" s="1241"/>
      <c r="C346" s="1239"/>
      <c r="D346" s="555"/>
      <c r="E346" s="1208"/>
      <c r="F346" s="1235"/>
      <c r="G346" s="1208"/>
      <c r="H346" s="1210"/>
      <c r="I346" s="1205"/>
      <c r="J346" s="1205"/>
      <c r="K346" s="1205"/>
      <c r="L346" s="1205"/>
      <c r="M346" s="547" t="s">
        <v>745</v>
      </c>
      <c r="N346" s="681"/>
      <c r="O346" s="557">
        <v>0</v>
      </c>
      <c r="P346" s="676">
        <v>0</v>
      </c>
      <c r="Q346" s="563">
        <v>0</v>
      </c>
      <c r="R346" s="707"/>
      <c r="S346" s="707"/>
      <c r="T346" s="707"/>
      <c r="U346" s="707"/>
      <c r="V346" s="707"/>
      <c r="W346" s="707"/>
      <c r="X346" s="707"/>
      <c r="Y346" s="707"/>
      <c r="Z346" s="686"/>
      <c r="AA346" s="686"/>
      <c r="AB346" s="686"/>
      <c r="AC346" s="707"/>
    </row>
    <row r="347" spans="2:29" s="48" customFormat="1" ht="16.5" thickBot="1" x14ac:dyDescent="0.3">
      <c r="B347" s="1240" t="s">
        <v>64</v>
      </c>
      <c r="C347" s="1238">
        <v>67321</v>
      </c>
      <c r="D347" s="555">
        <v>27302170</v>
      </c>
      <c r="E347" s="1207" t="s">
        <v>926</v>
      </c>
      <c r="F347" s="1234" t="s">
        <v>927</v>
      </c>
      <c r="G347" s="1234" t="s">
        <v>928</v>
      </c>
      <c r="H347" s="1312" t="s">
        <v>240</v>
      </c>
      <c r="I347" s="1206" t="s">
        <v>199</v>
      </c>
      <c r="J347" s="1206" t="s">
        <v>199</v>
      </c>
      <c r="K347" s="1206" t="s">
        <v>199</v>
      </c>
      <c r="L347" s="1206" t="s">
        <v>263</v>
      </c>
      <c r="M347" s="542" t="s">
        <v>122</v>
      </c>
      <c r="N347" s="1248"/>
      <c r="O347" s="551">
        <f>O348+O349</f>
        <v>0</v>
      </c>
      <c r="P347" s="551">
        <f>P348+P349</f>
        <v>0</v>
      </c>
      <c r="Q347" s="552">
        <f>Q348+Q349</f>
        <v>4000</v>
      </c>
      <c r="R347" s="707"/>
      <c r="S347" s="707"/>
      <c r="T347" s="707"/>
      <c r="U347" s="707"/>
      <c r="V347" s="707"/>
      <c r="W347" s="707"/>
      <c r="X347" s="707"/>
      <c r="Y347" s="707"/>
      <c r="Z347" s="686"/>
      <c r="AA347" s="686"/>
      <c r="AB347" s="686"/>
      <c r="AC347" s="707"/>
    </row>
    <row r="348" spans="2:29" s="48" customFormat="1" ht="16.5" thickBot="1" x14ac:dyDescent="0.3">
      <c r="B348" s="1204"/>
      <c r="C348" s="1192"/>
      <c r="D348" s="555"/>
      <c r="E348" s="1199"/>
      <c r="F348" s="1201"/>
      <c r="G348" s="1201"/>
      <c r="H348" s="1209"/>
      <c r="I348" s="1204"/>
      <c r="J348" s="1204"/>
      <c r="K348" s="1204"/>
      <c r="L348" s="1204"/>
      <c r="M348" s="636" t="s">
        <v>123</v>
      </c>
      <c r="N348" s="1249"/>
      <c r="O348" s="561">
        <v>0</v>
      </c>
      <c r="P348" s="562">
        <v>0</v>
      </c>
      <c r="Q348" s="550">
        <v>0</v>
      </c>
      <c r="R348" s="707"/>
      <c r="S348" s="707"/>
      <c r="T348" s="707"/>
      <c r="U348" s="707"/>
      <c r="V348" s="707"/>
      <c r="W348" s="707"/>
      <c r="X348" s="707"/>
      <c r="Y348" s="707"/>
      <c r="Z348" s="686"/>
      <c r="AA348" s="686"/>
      <c r="AB348" s="686"/>
      <c r="AC348" s="707"/>
    </row>
    <row r="349" spans="2:29" s="48" customFormat="1" ht="16.5" thickBot="1" x14ac:dyDescent="0.3">
      <c r="B349" s="1204"/>
      <c r="C349" s="1192"/>
      <c r="D349" s="555"/>
      <c r="E349" s="1199"/>
      <c r="F349" s="1201"/>
      <c r="G349" s="1201"/>
      <c r="H349" s="1209"/>
      <c r="I349" s="1204"/>
      <c r="J349" s="1204"/>
      <c r="K349" s="1204"/>
      <c r="L349" s="1204"/>
      <c r="M349" s="672" t="s">
        <v>124</v>
      </c>
      <c r="N349" s="1250"/>
      <c r="O349" s="551">
        <v>0</v>
      </c>
      <c r="P349" s="552">
        <v>0</v>
      </c>
      <c r="Q349" s="549">
        <v>4000</v>
      </c>
      <c r="R349" s="707"/>
      <c r="S349" s="707"/>
      <c r="T349" s="707"/>
      <c r="U349" s="707"/>
      <c r="V349" s="707"/>
      <c r="W349" s="707"/>
      <c r="X349" s="707"/>
      <c r="Y349" s="707"/>
      <c r="Z349" s="686"/>
      <c r="AA349" s="686"/>
      <c r="AB349" s="686"/>
      <c r="AC349" s="707"/>
    </row>
    <row r="350" spans="2:29" s="48" customFormat="1" ht="16.5" thickBot="1" x14ac:dyDescent="0.3">
      <c r="B350" s="1241"/>
      <c r="C350" s="1239"/>
      <c r="D350" s="555"/>
      <c r="E350" s="1208"/>
      <c r="F350" s="1235"/>
      <c r="G350" s="1235"/>
      <c r="H350" s="1291"/>
      <c r="I350" s="1205"/>
      <c r="J350" s="1205"/>
      <c r="K350" s="1205"/>
      <c r="L350" s="1205"/>
      <c r="M350" s="547" t="s">
        <v>745</v>
      </c>
      <c r="N350" s="681"/>
      <c r="O350" s="557">
        <v>0</v>
      </c>
      <c r="P350" s="676">
        <v>0</v>
      </c>
      <c r="Q350" s="563">
        <v>0</v>
      </c>
      <c r="R350" s="707"/>
      <c r="S350" s="707"/>
      <c r="T350" s="707"/>
      <c r="U350" s="707"/>
      <c r="V350" s="707"/>
      <c r="W350" s="707"/>
      <c r="X350" s="707"/>
      <c r="Y350" s="707"/>
      <c r="Z350" s="686"/>
      <c r="AA350" s="686"/>
      <c r="AB350" s="686"/>
      <c r="AC350" s="707"/>
    </row>
    <row r="351" spans="2:29" s="48" customFormat="1" ht="16.5" thickBot="1" x14ac:dyDescent="0.3">
      <c r="B351" s="1240" t="s">
        <v>64</v>
      </c>
      <c r="C351" s="1238">
        <v>67321</v>
      </c>
      <c r="D351" s="555">
        <v>27302170</v>
      </c>
      <c r="E351" s="1236" t="s">
        <v>459</v>
      </c>
      <c r="F351" s="1234" t="s">
        <v>998</v>
      </c>
      <c r="G351" s="1234" t="s">
        <v>190</v>
      </c>
      <c r="H351" s="1312" t="s">
        <v>240</v>
      </c>
      <c r="I351" s="1206" t="s">
        <v>199</v>
      </c>
      <c r="J351" s="1206" t="s">
        <v>199</v>
      </c>
      <c r="K351" s="1206" t="s">
        <v>199</v>
      </c>
      <c r="L351" s="1206" t="s">
        <v>263</v>
      </c>
      <c r="M351" s="542" t="s">
        <v>122</v>
      </c>
      <c r="N351" s="1248"/>
      <c r="O351" s="551">
        <f>O352+O353</f>
        <v>0</v>
      </c>
      <c r="P351" s="551">
        <f>P352+P353</f>
        <v>0</v>
      </c>
      <c r="Q351" s="552">
        <f>Q352+Q353</f>
        <v>1000</v>
      </c>
      <c r="R351" s="707"/>
      <c r="S351" s="707"/>
      <c r="T351" s="707"/>
      <c r="U351" s="707"/>
      <c r="V351" s="707"/>
      <c r="W351" s="707"/>
      <c r="X351" s="707"/>
      <c r="Y351" s="707"/>
      <c r="Z351" s="686"/>
      <c r="AA351" s="686"/>
      <c r="AB351" s="686"/>
      <c r="AC351" s="707"/>
    </row>
    <row r="352" spans="2:29" s="48" customFormat="1" ht="16.5" thickBot="1" x14ac:dyDescent="0.3">
      <c r="B352" s="1204"/>
      <c r="C352" s="1192"/>
      <c r="D352" s="555"/>
      <c r="E352" s="1199"/>
      <c r="F352" s="1201"/>
      <c r="G352" s="1201"/>
      <c r="H352" s="1209"/>
      <c r="I352" s="1204"/>
      <c r="J352" s="1204"/>
      <c r="K352" s="1204"/>
      <c r="L352" s="1204"/>
      <c r="M352" s="636" t="s">
        <v>123</v>
      </c>
      <c r="N352" s="1249"/>
      <c r="O352" s="561">
        <v>0</v>
      </c>
      <c r="P352" s="562">
        <v>0</v>
      </c>
      <c r="Q352" s="550">
        <v>0</v>
      </c>
      <c r="R352" s="707"/>
      <c r="S352" s="707"/>
      <c r="T352" s="707"/>
      <c r="U352" s="707"/>
      <c r="V352" s="707"/>
      <c r="W352" s="707"/>
      <c r="X352" s="707"/>
      <c r="Y352" s="707"/>
      <c r="Z352" s="686"/>
      <c r="AA352" s="686"/>
      <c r="AB352" s="686"/>
      <c r="AC352" s="707"/>
    </row>
    <row r="353" spans="2:29" s="48" customFormat="1" ht="16.5" thickBot="1" x14ac:dyDescent="0.3">
      <c r="B353" s="1204"/>
      <c r="C353" s="1192"/>
      <c r="D353" s="555"/>
      <c r="E353" s="1199"/>
      <c r="F353" s="1201"/>
      <c r="G353" s="1201"/>
      <c r="H353" s="1209"/>
      <c r="I353" s="1204"/>
      <c r="J353" s="1204"/>
      <c r="K353" s="1204"/>
      <c r="L353" s="1204"/>
      <c r="M353" s="672" t="s">
        <v>124</v>
      </c>
      <c r="N353" s="1250"/>
      <c r="O353" s="551">
        <v>0</v>
      </c>
      <c r="P353" s="552">
        <v>0</v>
      </c>
      <c r="Q353" s="549">
        <v>1000</v>
      </c>
      <c r="R353" s="707"/>
      <c r="S353" s="707"/>
      <c r="T353" s="707"/>
      <c r="U353" s="707"/>
      <c r="V353" s="707"/>
      <c r="W353" s="707"/>
      <c r="X353" s="707"/>
      <c r="Y353" s="707"/>
      <c r="Z353" s="686"/>
      <c r="AA353" s="686"/>
      <c r="AB353" s="686"/>
      <c r="AC353" s="707"/>
    </row>
    <row r="354" spans="2:29" s="48" customFormat="1" ht="16.5" thickBot="1" x14ac:dyDescent="0.3">
      <c r="B354" s="1241"/>
      <c r="C354" s="1239"/>
      <c r="D354" s="555"/>
      <c r="E354" s="1199"/>
      <c r="F354" s="1235"/>
      <c r="G354" s="1235"/>
      <c r="H354" s="1291"/>
      <c r="I354" s="1205"/>
      <c r="J354" s="1205"/>
      <c r="K354" s="1205"/>
      <c r="L354" s="1205"/>
      <c r="M354" s="547" t="s">
        <v>745</v>
      </c>
      <c r="N354" s="681"/>
      <c r="O354" s="557">
        <v>0</v>
      </c>
      <c r="P354" s="676">
        <v>0</v>
      </c>
      <c r="Q354" s="563">
        <v>0</v>
      </c>
      <c r="R354" s="707"/>
      <c r="S354" s="707"/>
      <c r="T354" s="707"/>
      <c r="U354" s="707"/>
      <c r="V354" s="707"/>
      <c r="W354" s="707"/>
      <c r="X354" s="707"/>
      <c r="Y354" s="707"/>
      <c r="Z354" s="686"/>
      <c r="AA354" s="686"/>
      <c r="AB354" s="686"/>
      <c r="AC354" s="707"/>
    </row>
    <row r="355" spans="2:29" s="48" customFormat="1" ht="16.5" thickBot="1" x14ac:dyDescent="0.3">
      <c r="B355" s="1240" t="s">
        <v>64</v>
      </c>
      <c r="C355" s="1238">
        <v>67321</v>
      </c>
      <c r="D355" s="555">
        <v>27302111</v>
      </c>
      <c r="E355" s="1236" t="s">
        <v>459</v>
      </c>
      <c r="F355" s="1234" t="s">
        <v>546</v>
      </c>
      <c r="G355" s="1234" t="s">
        <v>999</v>
      </c>
      <c r="H355" s="1312" t="s">
        <v>240</v>
      </c>
      <c r="I355" s="1206" t="s">
        <v>199</v>
      </c>
      <c r="J355" s="1206" t="s">
        <v>199</v>
      </c>
      <c r="K355" s="1206" t="s">
        <v>199</v>
      </c>
      <c r="L355" s="1206" t="s">
        <v>263</v>
      </c>
      <c r="M355" s="542" t="s">
        <v>122</v>
      </c>
      <c r="N355" s="1248"/>
      <c r="O355" s="551">
        <f>O356+O357</f>
        <v>0</v>
      </c>
      <c r="P355" s="551">
        <f>P356+P357</f>
        <v>0</v>
      </c>
      <c r="Q355" s="552">
        <f>Q356+Q357</f>
        <v>150</v>
      </c>
      <c r="R355" s="707"/>
      <c r="S355" s="707"/>
      <c r="T355" s="707"/>
      <c r="U355" s="707"/>
      <c r="V355" s="707"/>
      <c r="W355" s="707"/>
      <c r="X355" s="707"/>
      <c r="Y355" s="707"/>
      <c r="Z355" s="686"/>
      <c r="AA355" s="686"/>
      <c r="AB355" s="686"/>
      <c r="AC355" s="707"/>
    </row>
    <row r="356" spans="2:29" s="48" customFormat="1" ht="16.5" thickBot="1" x14ac:dyDescent="0.3">
      <c r="B356" s="1204"/>
      <c r="C356" s="1192"/>
      <c r="D356" s="555"/>
      <c r="E356" s="1199"/>
      <c r="F356" s="1201"/>
      <c r="G356" s="1201"/>
      <c r="H356" s="1209"/>
      <c r="I356" s="1204"/>
      <c r="J356" s="1204"/>
      <c r="K356" s="1204"/>
      <c r="L356" s="1204"/>
      <c r="M356" s="636" t="s">
        <v>123</v>
      </c>
      <c r="N356" s="1249"/>
      <c r="O356" s="561">
        <v>0</v>
      </c>
      <c r="P356" s="562">
        <v>0</v>
      </c>
      <c r="Q356" s="550">
        <v>0</v>
      </c>
      <c r="R356" s="707"/>
      <c r="S356" s="707"/>
      <c r="T356" s="707"/>
      <c r="U356" s="707"/>
      <c r="V356" s="707"/>
      <c r="W356" s="707"/>
      <c r="X356" s="707"/>
      <c r="Y356" s="707"/>
      <c r="Z356" s="686"/>
      <c r="AA356" s="686"/>
      <c r="AB356" s="686"/>
      <c r="AC356" s="707"/>
    </row>
    <row r="357" spans="2:29" s="48" customFormat="1" ht="16.5" thickBot="1" x14ac:dyDescent="0.3">
      <c r="B357" s="1204"/>
      <c r="C357" s="1192"/>
      <c r="D357" s="555"/>
      <c r="E357" s="1199"/>
      <c r="F357" s="1201"/>
      <c r="G357" s="1201"/>
      <c r="H357" s="1209"/>
      <c r="I357" s="1204"/>
      <c r="J357" s="1204"/>
      <c r="K357" s="1204"/>
      <c r="L357" s="1204"/>
      <c r="M357" s="672" t="s">
        <v>124</v>
      </c>
      <c r="N357" s="1250"/>
      <c r="O357" s="551">
        <v>0</v>
      </c>
      <c r="P357" s="552">
        <v>0</v>
      </c>
      <c r="Q357" s="549">
        <v>150</v>
      </c>
      <c r="R357" s="707"/>
      <c r="S357" s="707"/>
      <c r="T357" s="707"/>
      <c r="U357" s="707"/>
      <c r="V357" s="707"/>
      <c r="W357" s="707"/>
      <c r="X357" s="707"/>
      <c r="Y357" s="707"/>
      <c r="Z357" s="686"/>
      <c r="AA357" s="686"/>
      <c r="AB357" s="686"/>
      <c r="AC357" s="707"/>
    </row>
    <row r="358" spans="2:29" s="48" customFormat="1" ht="16.5" thickBot="1" x14ac:dyDescent="0.3">
      <c r="B358" s="1241"/>
      <c r="C358" s="1239"/>
      <c r="D358" s="555"/>
      <c r="E358" s="1199"/>
      <c r="F358" s="1235"/>
      <c r="G358" s="1235"/>
      <c r="H358" s="1291"/>
      <c r="I358" s="1205"/>
      <c r="J358" s="1205"/>
      <c r="K358" s="1205"/>
      <c r="L358" s="1205"/>
      <c r="M358" s="547" t="s">
        <v>745</v>
      </c>
      <c r="N358" s="681"/>
      <c r="O358" s="557">
        <v>0</v>
      </c>
      <c r="P358" s="676">
        <v>0</v>
      </c>
      <c r="Q358" s="563">
        <v>0</v>
      </c>
      <c r="R358" s="707"/>
      <c r="S358" s="707"/>
      <c r="T358" s="707"/>
      <c r="U358" s="707"/>
      <c r="V358" s="707"/>
      <c r="W358" s="707"/>
      <c r="X358" s="707"/>
      <c r="Y358" s="707"/>
      <c r="Z358" s="686"/>
      <c r="AA358" s="686"/>
      <c r="AB358" s="686"/>
      <c r="AC358" s="707"/>
    </row>
    <row r="359" spans="2:29" s="48" customFormat="1" ht="16.5" thickBot="1" x14ac:dyDescent="0.3">
      <c r="B359" s="1240" t="s">
        <v>64</v>
      </c>
      <c r="C359" s="1238">
        <v>67321</v>
      </c>
      <c r="D359" s="555">
        <v>27302111</v>
      </c>
      <c r="E359" s="1236" t="s">
        <v>460</v>
      </c>
      <c r="F359" s="1234" t="s">
        <v>546</v>
      </c>
      <c r="G359" s="1234" t="s">
        <v>999</v>
      </c>
      <c r="H359" s="1312" t="s">
        <v>240</v>
      </c>
      <c r="I359" s="1206" t="s">
        <v>199</v>
      </c>
      <c r="J359" s="1206" t="s">
        <v>199</v>
      </c>
      <c r="K359" s="1206" t="s">
        <v>199</v>
      </c>
      <c r="L359" s="1206" t="s">
        <v>374</v>
      </c>
      <c r="M359" s="542" t="s">
        <v>122</v>
      </c>
      <c r="N359" s="1248"/>
      <c r="O359" s="551">
        <f>O360+O361</f>
        <v>0</v>
      </c>
      <c r="P359" s="551">
        <f>P360+P361</f>
        <v>0</v>
      </c>
      <c r="Q359" s="552">
        <f>Q360+Q361</f>
        <v>160</v>
      </c>
      <c r="R359" s="707"/>
      <c r="S359" s="707"/>
      <c r="T359" s="707"/>
      <c r="U359" s="707"/>
      <c r="V359" s="707"/>
      <c r="W359" s="707"/>
      <c r="X359" s="707"/>
      <c r="Y359" s="707"/>
      <c r="Z359" s="686"/>
      <c r="AA359" s="686"/>
      <c r="AB359" s="686"/>
      <c r="AC359" s="707"/>
    </row>
    <row r="360" spans="2:29" s="48" customFormat="1" ht="16.5" thickBot="1" x14ac:dyDescent="0.3">
      <c r="B360" s="1204"/>
      <c r="C360" s="1192"/>
      <c r="D360" s="555"/>
      <c r="E360" s="1199"/>
      <c r="F360" s="1201"/>
      <c r="G360" s="1201"/>
      <c r="H360" s="1209"/>
      <c r="I360" s="1204"/>
      <c r="J360" s="1204"/>
      <c r="K360" s="1204"/>
      <c r="L360" s="1204"/>
      <c r="M360" s="636" t="s">
        <v>123</v>
      </c>
      <c r="N360" s="1249"/>
      <c r="O360" s="561">
        <v>0</v>
      </c>
      <c r="P360" s="562">
        <v>0</v>
      </c>
      <c r="Q360" s="550">
        <v>0</v>
      </c>
      <c r="R360" s="707"/>
      <c r="S360" s="707"/>
      <c r="T360" s="707"/>
      <c r="U360" s="707"/>
      <c r="V360" s="707"/>
      <c r="W360" s="707"/>
      <c r="X360" s="707"/>
      <c r="Y360" s="707"/>
      <c r="Z360" s="686"/>
      <c r="AA360" s="686"/>
      <c r="AB360" s="686"/>
      <c r="AC360" s="707"/>
    </row>
    <row r="361" spans="2:29" s="48" customFormat="1" ht="16.5" thickBot="1" x14ac:dyDescent="0.3">
      <c r="B361" s="1204"/>
      <c r="C361" s="1192"/>
      <c r="D361" s="555"/>
      <c r="E361" s="1199"/>
      <c r="F361" s="1201"/>
      <c r="G361" s="1201"/>
      <c r="H361" s="1209"/>
      <c r="I361" s="1204"/>
      <c r="J361" s="1204"/>
      <c r="K361" s="1204"/>
      <c r="L361" s="1204"/>
      <c r="M361" s="672" t="s">
        <v>124</v>
      </c>
      <c r="N361" s="1250"/>
      <c r="O361" s="551">
        <v>0</v>
      </c>
      <c r="P361" s="552">
        <v>0</v>
      </c>
      <c r="Q361" s="549">
        <v>160</v>
      </c>
      <c r="R361" s="707"/>
      <c r="S361" s="707"/>
      <c r="T361" s="707"/>
      <c r="U361" s="707"/>
      <c r="V361" s="707"/>
      <c r="W361" s="707"/>
      <c r="X361" s="707"/>
      <c r="Y361" s="707"/>
      <c r="Z361" s="686"/>
      <c r="AA361" s="686"/>
      <c r="AB361" s="686"/>
      <c r="AC361" s="707"/>
    </row>
    <row r="362" spans="2:29" s="48" customFormat="1" ht="16.5" thickBot="1" x14ac:dyDescent="0.3">
      <c r="B362" s="1241"/>
      <c r="C362" s="1239"/>
      <c r="D362" s="555"/>
      <c r="E362" s="1237"/>
      <c r="F362" s="1235"/>
      <c r="G362" s="1235"/>
      <c r="H362" s="1291"/>
      <c r="I362" s="1205"/>
      <c r="J362" s="1205"/>
      <c r="K362" s="1205"/>
      <c r="L362" s="1205"/>
      <c r="M362" s="547" t="s">
        <v>745</v>
      </c>
      <c r="N362" s="681"/>
      <c r="O362" s="557">
        <v>0</v>
      </c>
      <c r="P362" s="676">
        <v>0</v>
      </c>
      <c r="Q362" s="563">
        <v>0</v>
      </c>
      <c r="R362" s="707"/>
      <c r="S362" s="707"/>
      <c r="T362" s="707"/>
      <c r="U362" s="707"/>
      <c r="V362" s="707"/>
      <c r="W362" s="707"/>
      <c r="X362" s="707"/>
      <c r="Y362" s="707"/>
      <c r="Z362" s="686"/>
      <c r="AA362" s="686"/>
      <c r="AB362" s="686"/>
      <c r="AC362" s="707"/>
    </row>
    <row r="363" spans="2:29" ht="39" customHeight="1" thickBot="1" x14ac:dyDescent="0.3">
      <c r="B363" s="1302" t="s">
        <v>172</v>
      </c>
      <c r="C363" s="1292" t="s">
        <v>116</v>
      </c>
      <c r="D363" s="1275" t="s">
        <v>116</v>
      </c>
      <c r="E363" s="1275" t="s">
        <v>116</v>
      </c>
      <c r="F363" s="1296" t="s">
        <v>1052</v>
      </c>
      <c r="G363" s="545" t="s">
        <v>1061</v>
      </c>
      <c r="H363" s="654" t="s">
        <v>243</v>
      </c>
      <c r="I363" s="593">
        <v>62400</v>
      </c>
      <c r="J363" s="1206" t="s">
        <v>528</v>
      </c>
      <c r="K363" s="593">
        <v>62400</v>
      </c>
      <c r="L363" s="593">
        <v>62400</v>
      </c>
      <c r="M363" s="542" t="s">
        <v>122</v>
      </c>
      <c r="N363" s="543"/>
      <c r="O363" s="544">
        <f>O364+O365</f>
        <v>266254.63569999993</v>
      </c>
      <c r="P363" s="544">
        <f>P364+P365</f>
        <v>244323.11999999997</v>
      </c>
      <c r="Q363" s="675">
        <f>Q364+Q365</f>
        <v>234681.24</v>
      </c>
      <c r="R363" s="51">
        <v>266254.63342999999</v>
      </c>
      <c r="S363" s="51">
        <v>244323.11569999999</v>
      </c>
      <c r="T363" s="51">
        <v>234681.24502</v>
      </c>
      <c r="V363" s="51">
        <v>266254.64</v>
      </c>
      <c r="W363" s="51">
        <v>244323.12</v>
      </c>
      <c r="X363" s="51">
        <v>234681.24</v>
      </c>
      <c r="Z363" s="776">
        <f t="shared" ref="Z363:AB365" si="5">V363-O363</f>
        <v>4.3000000878237188E-3</v>
      </c>
      <c r="AA363" s="776">
        <f t="shared" si="5"/>
        <v>0</v>
      </c>
      <c r="AB363" s="776">
        <f t="shared" si="5"/>
        <v>0</v>
      </c>
    </row>
    <row r="364" spans="2:29" ht="16.5" thickBot="1" x14ac:dyDescent="0.3">
      <c r="B364" s="1303"/>
      <c r="C364" s="1293"/>
      <c r="D364" s="1295"/>
      <c r="E364" s="1295"/>
      <c r="F364" s="1297"/>
      <c r="G364" s="1200" t="s">
        <v>187</v>
      </c>
      <c r="H364" s="1236" t="s">
        <v>241</v>
      </c>
      <c r="I364" s="1236">
        <v>4858</v>
      </c>
      <c r="J364" s="1204"/>
      <c r="K364" s="1236">
        <v>4858</v>
      </c>
      <c r="L364" s="1236">
        <v>4858</v>
      </c>
      <c r="M364" s="636" t="s">
        <v>123</v>
      </c>
      <c r="N364" s="549"/>
      <c r="O364" s="551">
        <f>O368+O428+O444+O452+O468</f>
        <v>4382.7659999999996</v>
      </c>
      <c r="P364" s="551">
        <f>P368+P428+P444+P452+P468</f>
        <v>4382.7659999999996</v>
      </c>
      <c r="Q364" s="552">
        <f>Q368+Q428+Q444+Q452+Q468</f>
        <v>5478.4579999999996</v>
      </c>
      <c r="R364" s="777">
        <f>R363-O363</f>
        <v>-2.2699999390169978E-3</v>
      </c>
      <c r="S364" s="777">
        <f>S363-P363</f>
        <v>-4.299999971408397E-3</v>
      </c>
      <c r="T364" s="777">
        <f>T363-Q363</f>
        <v>5.020000011427328E-3</v>
      </c>
      <c r="V364" s="51">
        <v>4382.7659999999996</v>
      </c>
      <c r="W364" s="51">
        <v>4382.7659999999996</v>
      </c>
      <c r="X364" s="51">
        <v>5478.4579999999996</v>
      </c>
      <c r="Z364" s="776">
        <f t="shared" si="5"/>
        <v>0</v>
      </c>
      <c r="AA364" s="776">
        <f t="shared" si="5"/>
        <v>0</v>
      </c>
      <c r="AB364" s="786">
        <f t="shared" si="5"/>
        <v>0</v>
      </c>
    </row>
    <row r="365" spans="2:29" ht="16.5" thickBot="1" x14ac:dyDescent="0.3">
      <c r="B365" s="1303"/>
      <c r="C365" s="1293"/>
      <c r="D365" s="1295"/>
      <c r="E365" s="1295"/>
      <c r="F365" s="1297"/>
      <c r="G365" s="1201"/>
      <c r="H365" s="1199"/>
      <c r="I365" s="1199"/>
      <c r="J365" s="1204"/>
      <c r="K365" s="1199"/>
      <c r="L365" s="1199"/>
      <c r="M365" s="672" t="s">
        <v>124</v>
      </c>
      <c r="N365" s="550"/>
      <c r="O365" s="551">
        <f>O369+O429+O445+O453+O461+O469</f>
        <v>261871.86969999995</v>
      </c>
      <c r="P365" s="551">
        <f>P369+P429+P445+P453+P461+P469</f>
        <v>239940.35399999996</v>
      </c>
      <c r="Q365" s="552">
        <f>Q369+Q429+Q445+Q453+Q461+Q469</f>
        <v>229202.78199999998</v>
      </c>
      <c r="V365" s="51">
        <v>261871.86743000001</v>
      </c>
      <c r="W365" s="51">
        <v>239940.34969999999</v>
      </c>
      <c r="X365" s="51">
        <v>229202.78</v>
      </c>
      <c r="Z365" s="776">
        <f t="shared" si="5"/>
        <v>-2.2699999390169978E-3</v>
      </c>
      <c r="AA365" s="776">
        <f t="shared" si="5"/>
        <v>-4.299999971408397E-3</v>
      </c>
      <c r="AB365" s="786">
        <f t="shared" si="5"/>
        <v>-1.9999999785795808E-3</v>
      </c>
    </row>
    <row r="366" spans="2:29" ht="16.5" thickBot="1" x14ac:dyDescent="0.3">
      <c r="B366" s="1303"/>
      <c r="C366" s="1293"/>
      <c r="D366" s="1295"/>
      <c r="E366" s="1295"/>
      <c r="F366" s="1297"/>
      <c r="G366" s="1202"/>
      <c r="H366" s="1208"/>
      <c r="I366" s="1208"/>
      <c r="J366" s="1204"/>
      <c r="K366" s="1208"/>
      <c r="L366" s="1208"/>
      <c r="M366" s="547" t="s">
        <v>745</v>
      </c>
      <c r="N366" s="549"/>
      <c r="O366" s="551">
        <v>0</v>
      </c>
      <c r="P366" s="551">
        <v>0</v>
      </c>
      <c r="Q366" s="552">
        <v>0</v>
      </c>
    </row>
    <row r="367" spans="2:29" ht="16.5" thickBot="1" x14ac:dyDescent="0.3">
      <c r="B367" s="1206" t="s">
        <v>172</v>
      </c>
      <c r="C367" s="1308">
        <v>69211</v>
      </c>
      <c r="D367" s="704"/>
      <c r="E367" s="1232" t="s">
        <v>116</v>
      </c>
      <c r="F367" s="1200" t="s">
        <v>589</v>
      </c>
      <c r="G367" s="1207" t="s">
        <v>187</v>
      </c>
      <c r="H367" s="1232" t="s">
        <v>116</v>
      </c>
      <c r="I367" s="1207">
        <f>I371+I375+I379+I383++I387+I391+I395+I399+I403+I407+I411+I415+I419</f>
        <v>4800</v>
      </c>
      <c r="J367" s="1206" t="s">
        <v>528</v>
      </c>
      <c r="K367" s="1232">
        <f>K371+K375+K379+K383+K387+K391+K395+K399+K403+K407+K411+K415+K419</f>
        <v>4853</v>
      </c>
      <c r="L367" s="1207">
        <f>L371+L375+L379+L383+L387+L391+L395+L399+L403+L407+L411+L415+L419</f>
        <v>4853</v>
      </c>
      <c r="M367" s="542" t="s">
        <v>122</v>
      </c>
      <c r="N367" s="563"/>
      <c r="O367" s="681">
        <f>O368+O369</f>
        <v>211066.00369999997</v>
      </c>
      <c r="P367" s="552">
        <f>P368+P369</f>
        <v>213305.29399999997</v>
      </c>
      <c r="Q367" s="552">
        <f>Q368+Q369</f>
        <v>215281.592</v>
      </c>
      <c r="R367" s="51">
        <f>211066000.65/1000</f>
        <v>211066.00065</v>
      </c>
      <c r="S367" s="51">
        <f>213305293.7/1000</f>
        <v>213305.29369999998</v>
      </c>
      <c r="T367" s="51">
        <f>215281589.02/1000</f>
        <v>215281.58902000001</v>
      </c>
      <c r="V367" s="51">
        <v>211066</v>
      </c>
      <c r="W367" s="51">
        <v>213305.29</v>
      </c>
      <c r="X367" s="51">
        <v>215281.59</v>
      </c>
      <c r="Z367" s="776">
        <f>V367-O367</f>
        <v>-3.6999999720137566E-3</v>
      </c>
      <c r="AA367" s="776">
        <f>W367-P367</f>
        <v>-3.9999999571591616E-3</v>
      </c>
      <c r="AB367" s="776">
        <f>X367-Q367</f>
        <v>-2.0000000076834112E-3</v>
      </c>
    </row>
    <row r="368" spans="2:29" ht="16.5" thickBot="1" x14ac:dyDescent="0.3">
      <c r="B368" s="1204"/>
      <c r="C368" s="1259"/>
      <c r="D368" s="694"/>
      <c r="E368" s="1209"/>
      <c r="F368" s="1201"/>
      <c r="G368" s="1199"/>
      <c r="H368" s="1209"/>
      <c r="I368" s="1199"/>
      <c r="J368" s="1204"/>
      <c r="K368" s="1209"/>
      <c r="L368" s="1199"/>
      <c r="M368" s="636" t="s">
        <v>123</v>
      </c>
      <c r="N368" s="550"/>
      <c r="O368" s="681">
        <v>0</v>
      </c>
      <c r="P368" s="552">
        <f t="shared" ref="P368:Q370" si="6">P372+P376+P380+P384+P388+P392+P396+P400+P404+P408+P412+P416+P420+P424</f>
        <v>0</v>
      </c>
      <c r="Q368" s="552">
        <f t="shared" si="6"/>
        <v>0</v>
      </c>
      <c r="R368" s="51">
        <f>R367-O367</f>
        <v>-3.0499999702442437E-3</v>
      </c>
      <c r="S368" s="51">
        <f>S367-P367</f>
        <v>-2.9999998514540493E-4</v>
      </c>
      <c r="T368" s="51">
        <f>T367-Q367</f>
        <v>-2.9799999902024865E-3</v>
      </c>
    </row>
    <row r="369" spans="2:22" ht="16.5" thickBot="1" x14ac:dyDescent="0.3">
      <c r="B369" s="1204"/>
      <c r="C369" s="1259"/>
      <c r="D369" s="694"/>
      <c r="E369" s="1209"/>
      <c r="F369" s="1201"/>
      <c r="G369" s="1199"/>
      <c r="H369" s="1209"/>
      <c r="I369" s="1199"/>
      <c r="J369" s="1204"/>
      <c r="K369" s="1209"/>
      <c r="L369" s="1199"/>
      <c r="M369" s="672" t="s">
        <v>124</v>
      </c>
      <c r="N369" s="550"/>
      <c r="O369" s="551">
        <f>O373+O377+O381+O385+O389+O393+O397+O401+O405+O409+O413+O417+O421+O425</f>
        <v>211066.00369999997</v>
      </c>
      <c r="P369" s="551">
        <f>P373+P377+P381+P385+P389+P393+P397+P401+P405+P409+P413+P417+P421+P425</f>
        <v>213305.29399999997</v>
      </c>
      <c r="Q369" s="552">
        <f>Q373+Q377+Q381+Q385+Q389+Q393+Q397+Q401+Q405+Q409+Q413+Q417+Q421+Q425</f>
        <v>215281.592</v>
      </c>
    </row>
    <row r="370" spans="2:22" ht="16.5" thickBot="1" x14ac:dyDescent="0.3">
      <c r="B370" s="1204"/>
      <c r="C370" s="1259"/>
      <c r="D370" s="694" t="s">
        <v>116</v>
      </c>
      <c r="E370" s="1209"/>
      <c r="F370" s="1201"/>
      <c r="G370" s="1199"/>
      <c r="H370" s="1209"/>
      <c r="I370" s="1199"/>
      <c r="J370" s="1204"/>
      <c r="K370" s="1209"/>
      <c r="L370" s="1199"/>
      <c r="M370" s="671" t="s">
        <v>745</v>
      </c>
      <c r="N370" s="550"/>
      <c r="O370" s="681">
        <f>O374+O378+O382+O386+O390+O394+O398+O402+O406+O410+O414+O418+O422+O426</f>
        <v>0</v>
      </c>
      <c r="P370" s="676">
        <f t="shared" si="6"/>
        <v>0</v>
      </c>
      <c r="Q370" s="676">
        <f t="shared" si="6"/>
        <v>0</v>
      </c>
    </row>
    <row r="371" spans="2:22" ht="16.5" thickBot="1" x14ac:dyDescent="0.3">
      <c r="B371" s="1206" t="s">
        <v>172</v>
      </c>
      <c r="C371" s="1215">
        <v>69211</v>
      </c>
      <c r="D371" s="1229" t="s">
        <v>450</v>
      </c>
      <c r="E371" s="1207" t="s">
        <v>449</v>
      </c>
      <c r="F371" s="1200" t="s">
        <v>286</v>
      </c>
      <c r="G371" s="1207" t="s">
        <v>187</v>
      </c>
      <c r="H371" s="1232" t="s">
        <v>241</v>
      </c>
      <c r="I371" s="1207">
        <f>1+11+160+160</f>
        <v>332</v>
      </c>
      <c r="J371" s="1206" t="s">
        <v>528</v>
      </c>
      <c r="K371" s="1207">
        <f>1+11+160+160</f>
        <v>332</v>
      </c>
      <c r="L371" s="1207">
        <f>1+11+160+160</f>
        <v>332</v>
      </c>
      <c r="M371" s="542" t="s">
        <v>122</v>
      </c>
      <c r="N371" s="543"/>
      <c r="O371" s="544">
        <f>O372+O373</f>
        <v>13533.91</v>
      </c>
      <c r="P371" s="544">
        <f>P372+P373</f>
        <v>13533.91</v>
      </c>
      <c r="Q371" s="552">
        <f>Q372+Q373</f>
        <v>13533.91</v>
      </c>
    </row>
    <row r="372" spans="2:22" ht="16.5" thickBot="1" x14ac:dyDescent="0.3">
      <c r="B372" s="1204"/>
      <c r="C372" s="1192"/>
      <c r="D372" s="1230"/>
      <c r="E372" s="1199"/>
      <c r="F372" s="1201"/>
      <c r="G372" s="1199"/>
      <c r="H372" s="1209"/>
      <c r="I372" s="1199"/>
      <c r="J372" s="1204"/>
      <c r="K372" s="1199"/>
      <c r="L372" s="1199"/>
      <c r="M372" s="636" t="s">
        <v>123</v>
      </c>
      <c r="N372" s="549"/>
      <c r="O372" s="544">
        <v>0</v>
      </c>
      <c r="P372" s="544">
        <v>0</v>
      </c>
      <c r="Q372" s="675">
        <v>0</v>
      </c>
      <c r="V372" s="51">
        <f>I371+I375+I379+I383+I387+I391+I395+I399+I403+I407+I411+I415+I419</f>
        <v>4800</v>
      </c>
    </row>
    <row r="373" spans="2:22" ht="16.5" thickBot="1" x14ac:dyDescent="0.3">
      <c r="B373" s="1204"/>
      <c r="C373" s="1192"/>
      <c r="D373" s="1245"/>
      <c r="E373" s="1199"/>
      <c r="F373" s="1201"/>
      <c r="G373" s="1199"/>
      <c r="H373" s="1209"/>
      <c r="I373" s="1199"/>
      <c r="J373" s="1204"/>
      <c r="K373" s="1199"/>
      <c r="L373" s="1199"/>
      <c r="M373" s="672" t="s">
        <v>124</v>
      </c>
      <c r="N373" s="550"/>
      <c r="O373" s="544">
        <v>13533.91</v>
      </c>
      <c r="P373" s="544">
        <v>13533.91</v>
      </c>
      <c r="Q373" s="552">
        <v>13533.91</v>
      </c>
    </row>
    <row r="374" spans="2:22" ht="16.5" thickBot="1" x14ac:dyDescent="0.3">
      <c r="B374" s="1205"/>
      <c r="C374" s="1216"/>
      <c r="D374" s="674"/>
      <c r="E374" s="1208"/>
      <c r="F374" s="1202"/>
      <c r="G374" s="1208"/>
      <c r="H374" s="1210"/>
      <c r="I374" s="1208"/>
      <c r="J374" s="1205"/>
      <c r="K374" s="1208"/>
      <c r="L374" s="1208"/>
      <c r="M374" s="547" t="s">
        <v>745</v>
      </c>
      <c r="N374" s="549"/>
      <c r="O374" s="551">
        <v>0</v>
      </c>
      <c r="P374" s="551">
        <v>0</v>
      </c>
      <c r="Q374" s="676">
        <v>0</v>
      </c>
    </row>
    <row r="375" spans="2:22" ht="16.5" thickBot="1" x14ac:dyDescent="0.3">
      <c r="B375" s="1206" t="s">
        <v>172</v>
      </c>
      <c r="C375" s="1215">
        <v>69211</v>
      </c>
      <c r="D375" s="654">
        <v>27301842</v>
      </c>
      <c r="E375" s="1207" t="s">
        <v>408</v>
      </c>
      <c r="F375" s="1200" t="s">
        <v>286</v>
      </c>
      <c r="G375" s="1200" t="s">
        <v>187</v>
      </c>
      <c r="H375" s="1232" t="s">
        <v>241</v>
      </c>
      <c r="I375" s="1207">
        <f>35+319+298</f>
        <v>652</v>
      </c>
      <c r="J375" s="1206" t="s">
        <v>528</v>
      </c>
      <c r="K375" s="1207">
        <f>35+319+298</f>
        <v>652</v>
      </c>
      <c r="L375" s="1207">
        <f>35+319+298</f>
        <v>652</v>
      </c>
      <c r="M375" s="542" t="s">
        <v>122</v>
      </c>
      <c r="N375" s="543"/>
      <c r="O375" s="544">
        <f>O376+O377</f>
        <v>19684.406999999999</v>
      </c>
      <c r="P375" s="544">
        <f>P376+P377</f>
        <v>19684.406999999999</v>
      </c>
      <c r="Q375" s="675">
        <f>Q376+Q377</f>
        <v>19684.404999999999</v>
      </c>
    </row>
    <row r="376" spans="2:22" ht="16.5" thickBot="1" x14ac:dyDescent="0.3">
      <c r="B376" s="1204"/>
      <c r="C376" s="1192"/>
      <c r="D376" s="682"/>
      <c r="E376" s="1199"/>
      <c r="F376" s="1201"/>
      <c r="G376" s="1201"/>
      <c r="H376" s="1209"/>
      <c r="I376" s="1199"/>
      <c r="J376" s="1204"/>
      <c r="K376" s="1199"/>
      <c r="L376" s="1199"/>
      <c r="M376" s="636" t="s">
        <v>123</v>
      </c>
      <c r="N376" s="549"/>
      <c r="O376" s="544">
        <v>0</v>
      </c>
      <c r="P376" s="544">
        <v>0</v>
      </c>
      <c r="Q376" s="675">
        <v>0</v>
      </c>
    </row>
    <row r="377" spans="2:22" ht="16.5" thickBot="1" x14ac:dyDescent="0.3">
      <c r="B377" s="1204"/>
      <c r="C377" s="1192"/>
      <c r="D377" s="682"/>
      <c r="E377" s="1199"/>
      <c r="F377" s="1201"/>
      <c r="G377" s="1201"/>
      <c r="H377" s="1209"/>
      <c r="I377" s="1199"/>
      <c r="J377" s="1204"/>
      <c r="K377" s="1199"/>
      <c r="L377" s="1199"/>
      <c r="M377" s="672" t="s">
        <v>124</v>
      </c>
      <c r="N377" s="550"/>
      <c r="O377" s="544">
        <v>19684.406999999999</v>
      </c>
      <c r="P377" s="544">
        <v>19684.406999999999</v>
      </c>
      <c r="Q377" s="675">
        <v>19684.404999999999</v>
      </c>
    </row>
    <row r="378" spans="2:22" ht="16.5" thickBot="1" x14ac:dyDescent="0.3">
      <c r="B378" s="1205"/>
      <c r="C378" s="1216"/>
      <c r="D378" s="674"/>
      <c r="E378" s="1208"/>
      <c r="F378" s="1202"/>
      <c r="G378" s="1202"/>
      <c r="H378" s="1210"/>
      <c r="I378" s="1208"/>
      <c r="J378" s="1205"/>
      <c r="K378" s="1208"/>
      <c r="L378" s="1208"/>
      <c r="M378" s="547" t="s">
        <v>745</v>
      </c>
      <c r="N378" s="549"/>
      <c r="O378" s="551">
        <v>0</v>
      </c>
      <c r="P378" s="551">
        <v>0</v>
      </c>
      <c r="Q378" s="552">
        <v>0</v>
      </c>
    </row>
    <row r="379" spans="2:22" ht="16.5" thickBot="1" x14ac:dyDescent="0.3">
      <c r="B379" s="1206" t="s">
        <v>172</v>
      </c>
      <c r="C379" s="1215">
        <v>69211</v>
      </c>
      <c r="D379" s="654">
        <v>27302143</v>
      </c>
      <c r="E379" s="1207" t="s">
        <v>451</v>
      </c>
      <c r="F379" s="1200" t="s">
        <v>286</v>
      </c>
      <c r="G379" s="1200" t="s">
        <v>187</v>
      </c>
      <c r="H379" s="1232" t="s">
        <v>241</v>
      </c>
      <c r="I379" s="1207">
        <f>7+409+150</f>
        <v>566</v>
      </c>
      <c r="J379" s="1206" t="s">
        <v>528</v>
      </c>
      <c r="K379" s="1207">
        <f>7+409+153</f>
        <v>569</v>
      </c>
      <c r="L379" s="1207">
        <f>7+409+153</f>
        <v>569</v>
      </c>
      <c r="M379" s="542" t="s">
        <v>122</v>
      </c>
      <c r="N379" s="543"/>
      <c r="O379" s="544">
        <f>O380+O381</f>
        <v>17723.349999999999</v>
      </c>
      <c r="P379" s="544">
        <f>P380+P381</f>
        <v>17723.349999999999</v>
      </c>
      <c r="Q379" s="552">
        <f>Q380+Q381</f>
        <v>17723.349999999999</v>
      </c>
    </row>
    <row r="380" spans="2:22" ht="16.5" thickBot="1" x14ac:dyDescent="0.3">
      <c r="B380" s="1204"/>
      <c r="C380" s="1192"/>
      <c r="D380" s="673"/>
      <c r="E380" s="1199"/>
      <c r="F380" s="1201"/>
      <c r="G380" s="1201"/>
      <c r="H380" s="1209"/>
      <c r="I380" s="1199"/>
      <c r="J380" s="1204"/>
      <c r="K380" s="1199"/>
      <c r="L380" s="1199"/>
      <c r="M380" s="636" t="s">
        <v>123</v>
      </c>
      <c r="N380" s="549"/>
      <c r="O380" s="544">
        <v>0</v>
      </c>
      <c r="P380" s="544">
        <v>0</v>
      </c>
      <c r="Q380" s="675">
        <v>0</v>
      </c>
    </row>
    <row r="381" spans="2:22" ht="16.5" thickBot="1" x14ac:dyDescent="0.3">
      <c r="B381" s="1204"/>
      <c r="C381" s="1192"/>
      <c r="D381" s="673"/>
      <c r="E381" s="1199"/>
      <c r="F381" s="1201"/>
      <c r="G381" s="1201"/>
      <c r="H381" s="1209"/>
      <c r="I381" s="1199"/>
      <c r="J381" s="1204"/>
      <c r="K381" s="1199"/>
      <c r="L381" s="1199"/>
      <c r="M381" s="672" t="s">
        <v>124</v>
      </c>
      <c r="N381" s="550"/>
      <c r="O381" s="544">
        <v>17723.349999999999</v>
      </c>
      <c r="P381" s="544">
        <v>17723.349999999999</v>
      </c>
      <c r="Q381" s="552">
        <v>17723.349999999999</v>
      </c>
    </row>
    <row r="382" spans="2:22" ht="16.5" thickBot="1" x14ac:dyDescent="0.3">
      <c r="B382" s="1205"/>
      <c r="C382" s="1216"/>
      <c r="D382" s="674"/>
      <c r="E382" s="1208"/>
      <c r="F382" s="1202"/>
      <c r="G382" s="1202"/>
      <c r="H382" s="1210"/>
      <c r="I382" s="1208"/>
      <c r="J382" s="1205"/>
      <c r="K382" s="1208"/>
      <c r="L382" s="1208"/>
      <c r="M382" s="547" t="s">
        <v>745</v>
      </c>
      <c r="N382" s="549"/>
      <c r="O382" s="551">
        <v>0</v>
      </c>
      <c r="P382" s="551">
        <v>0</v>
      </c>
      <c r="Q382" s="552">
        <v>0</v>
      </c>
    </row>
    <row r="383" spans="2:22" ht="16.5" thickBot="1" x14ac:dyDescent="0.3">
      <c r="B383" s="1204" t="s">
        <v>172</v>
      </c>
      <c r="C383" s="1215">
        <v>69211</v>
      </c>
      <c r="D383" s="1230" t="s">
        <v>533</v>
      </c>
      <c r="E383" s="1199" t="s">
        <v>452</v>
      </c>
      <c r="F383" s="1200" t="s">
        <v>286</v>
      </c>
      <c r="G383" s="1207" t="s">
        <v>187</v>
      </c>
      <c r="H383" s="1232" t="s">
        <v>241</v>
      </c>
      <c r="I383" s="1207">
        <f>30+460+627-50</f>
        <v>1067</v>
      </c>
      <c r="J383" s="1206" t="s">
        <v>528</v>
      </c>
      <c r="K383" s="1207">
        <f>30+460+627</f>
        <v>1117</v>
      </c>
      <c r="L383" s="1207">
        <f>30+460+627</f>
        <v>1117</v>
      </c>
      <c r="M383" s="542" t="s">
        <v>122</v>
      </c>
      <c r="N383" s="543"/>
      <c r="O383" s="544">
        <f>O384+O385</f>
        <v>34188.74</v>
      </c>
      <c r="P383" s="544">
        <f>P384+P385</f>
        <v>34188.74</v>
      </c>
      <c r="Q383" s="675">
        <f>Q384+Q385</f>
        <v>34188.74</v>
      </c>
    </row>
    <row r="384" spans="2:22" ht="16.5" thickBot="1" x14ac:dyDescent="0.3">
      <c r="B384" s="1204"/>
      <c r="C384" s="1192"/>
      <c r="D384" s="1230"/>
      <c r="E384" s="1199"/>
      <c r="F384" s="1201"/>
      <c r="G384" s="1199"/>
      <c r="H384" s="1209"/>
      <c r="I384" s="1199"/>
      <c r="J384" s="1204"/>
      <c r="K384" s="1199"/>
      <c r="L384" s="1199"/>
      <c r="M384" s="636" t="s">
        <v>123</v>
      </c>
      <c r="N384" s="549"/>
      <c r="O384" s="544">
        <v>0</v>
      </c>
      <c r="P384" s="544">
        <v>0</v>
      </c>
      <c r="Q384" s="675">
        <v>0</v>
      </c>
    </row>
    <row r="385" spans="2:17" ht="16.5" thickBot="1" x14ac:dyDescent="0.3">
      <c r="B385" s="1204"/>
      <c r="C385" s="1192"/>
      <c r="D385" s="1245"/>
      <c r="E385" s="1199"/>
      <c r="F385" s="1201"/>
      <c r="G385" s="1199"/>
      <c r="H385" s="1209"/>
      <c r="I385" s="1199"/>
      <c r="J385" s="1204"/>
      <c r="K385" s="1199"/>
      <c r="L385" s="1199"/>
      <c r="M385" s="672" t="s">
        <v>124</v>
      </c>
      <c r="N385" s="550"/>
      <c r="O385" s="544">
        <v>34188.74</v>
      </c>
      <c r="P385" s="544">
        <v>34188.74</v>
      </c>
      <c r="Q385" s="552">
        <v>34188.74</v>
      </c>
    </row>
    <row r="386" spans="2:17" ht="16.5" thickBot="1" x14ac:dyDescent="0.3">
      <c r="B386" s="1204"/>
      <c r="C386" s="1192"/>
      <c r="D386" s="673"/>
      <c r="E386" s="1199"/>
      <c r="F386" s="1201"/>
      <c r="G386" s="1199"/>
      <c r="H386" s="1209"/>
      <c r="I386" s="1199"/>
      <c r="J386" s="1204"/>
      <c r="K386" s="1199"/>
      <c r="L386" s="1199"/>
      <c r="M386" s="671" t="s">
        <v>745</v>
      </c>
      <c r="N386" s="543"/>
      <c r="O386" s="544">
        <v>0</v>
      </c>
      <c r="P386" s="544">
        <v>0</v>
      </c>
      <c r="Q386" s="675">
        <v>0</v>
      </c>
    </row>
    <row r="387" spans="2:17" ht="16.5" thickBot="1" x14ac:dyDescent="0.3">
      <c r="B387" s="1206" t="s">
        <v>172</v>
      </c>
      <c r="C387" s="1215">
        <v>69211</v>
      </c>
      <c r="D387" s="694" t="s">
        <v>382</v>
      </c>
      <c r="E387" s="1207" t="s">
        <v>383</v>
      </c>
      <c r="F387" s="1200" t="s">
        <v>286</v>
      </c>
      <c r="G387" s="1200" t="s">
        <v>187</v>
      </c>
      <c r="H387" s="1232" t="s">
        <v>241</v>
      </c>
      <c r="I387" s="1207">
        <v>18</v>
      </c>
      <c r="J387" s="1206" t="s">
        <v>528</v>
      </c>
      <c r="K387" s="1207">
        <v>18</v>
      </c>
      <c r="L387" s="1207">
        <v>18</v>
      </c>
      <c r="M387" s="542" t="s">
        <v>122</v>
      </c>
      <c r="N387" s="543"/>
      <c r="O387" s="544">
        <f>O388+O389</f>
        <v>2023.39</v>
      </c>
      <c r="P387" s="544">
        <f>P388+P389</f>
        <v>2023.39</v>
      </c>
      <c r="Q387" s="675">
        <f>Q388+Q389</f>
        <v>2023.39</v>
      </c>
    </row>
    <row r="388" spans="2:17" ht="16.5" thickBot="1" x14ac:dyDescent="0.3">
      <c r="B388" s="1204"/>
      <c r="C388" s="1192"/>
      <c r="D388" s="680"/>
      <c r="E388" s="1199"/>
      <c r="F388" s="1201"/>
      <c r="G388" s="1201"/>
      <c r="H388" s="1209"/>
      <c r="I388" s="1199"/>
      <c r="J388" s="1204"/>
      <c r="K388" s="1199"/>
      <c r="L388" s="1199"/>
      <c r="M388" s="636" t="s">
        <v>123</v>
      </c>
      <c r="N388" s="549"/>
      <c r="O388" s="551">
        <v>0</v>
      </c>
      <c r="P388" s="551">
        <v>0</v>
      </c>
      <c r="Q388" s="552">
        <v>0</v>
      </c>
    </row>
    <row r="389" spans="2:17" ht="16.5" thickBot="1" x14ac:dyDescent="0.3">
      <c r="B389" s="1204"/>
      <c r="C389" s="1192"/>
      <c r="D389" s="680"/>
      <c r="E389" s="1199"/>
      <c r="F389" s="1201"/>
      <c r="G389" s="1201"/>
      <c r="H389" s="1209"/>
      <c r="I389" s="1199"/>
      <c r="J389" s="1204"/>
      <c r="K389" s="1199"/>
      <c r="L389" s="1199"/>
      <c r="M389" s="672" t="s">
        <v>124</v>
      </c>
      <c r="N389" s="550"/>
      <c r="O389" s="561">
        <v>2023.39</v>
      </c>
      <c r="P389" s="561">
        <v>2023.39</v>
      </c>
      <c r="Q389" s="552">
        <v>2023.39</v>
      </c>
    </row>
    <row r="390" spans="2:17" ht="16.5" thickBot="1" x14ac:dyDescent="0.3">
      <c r="B390" s="1205"/>
      <c r="C390" s="1216"/>
      <c r="D390" s="558"/>
      <c r="E390" s="1208"/>
      <c r="F390" s="1202"/>
      <c r="G390" s="1202"/>
      <c r="H390" s="1210"/>
      <c r="I390" s="1208"/>
      <c r="J390" s="1205"/>
      <c r="K390" s="1208"/>
      <c r="L390" s="1208"/>
      <c r="M390" s="547" t="s">
        <v>745</v>
      </c>
      <c r="N390" s="549"/>
      <c r="O390" s="551">
        <v>0</v>
      </c>
      <c r="P390" s="551">
        <v>0</v>
      </c>
      <c r="Q390" s="552">
        <v>0</v>
      </c>
    </row>
    <row r="391" spans="2:17" ht="16.5" thickBot="1" x14ac:dyDescent="0.3">
      <c r="B391" s="1204" t="s">
        <v>172</v>
      </c>
      <c r="C391" s="1192">
        <v>69211</v>
      </c>
      <c r="D391" s="682">
        <v>27301835</v>
      </c>
      <c r="E391" s="1199" t="s">
        <v>384</v>
      </c>
      <c r="F391" s="1201" t="s">
        <v>286</v>
      </c>
      <c r="G391" s="1201" t="s">
        <v>187</v>
      </c>
      <c r="H391" s="1209" t="s">
        <v>241</v>
      </c>
      <c r="I391" s="1199">
        <f>146+249</f>
        <v>395</v>
      </c>
      <c r="J391" s="1204" t="s">
        <v>528</v>
      </c>
      <c r="K391" s="1207">
        <f>146+249</f>
        <v>395</v>
      </c>
      <c r="L391" s="1207">
        <f>146+249</f>
        <v>395</v>
      </c>
      <c r="M391" s="542" t="s">
        <v>122</v>
      </c>
      <c r="N391" s="543"/>
      <c r="O391" s="544">
        <f>O392+O393</f>
        <v>10110.5</v>
      </c>
      <c r="P391" s="544">
        <f>P392+P393</f>
        <v>10110.5</v>
      </c>
      <c r="Q391" s="675">
        <f>Q392+Q393</f>
        <v>10110.5</v>
      </c>
    </row>
    <row r="392" spans="2:17" ht="16.5" thickBot="1" x14ac:dyDescent="0.3">
      <c r="B392" s="1204"/>
      <c r="C392" s="1192"/>
      <c r="D392" s="555"/>
      <c r="E392" s="1199"/>
      <c r="F392" s="1201"/>
      <c r="G392" s="1201"/>
      <c r="H392" s="1209"/>
      <c r="I392" s="1199"/>
      <c r="J392" s="1204"/>
      <c r="K392" s="1199"/>
      <c r="L392" s="1199"/>
      <c r="M392" s="636" t="s">
        <v>123</v>
      </c>
      <c r="N392" s="549"/>
      <c r="O392" s="544">
        <v>0</v>
      </c>
      <c r="P392" s="544">
        <v>0</v>
      </c>
      <c r="Q392" s="675">
        <v>0</v>
      </c>
    </row>
    <row r="393" spans="2:17" ht="16.5" thickBot="1" x14ac:dyDescent="0.3">
      <c r="B393" s="1204"/>
      <c r="C393" s="1192"/>
      <c r="D393" s="555"/>
      <c r="E393" s="1199"/>
      <c r="F393" s="1201"/>
      <c r="G393" s="1201"/>
      <c r="H393" s="1209"/>
      <c r="I393" s="1199"/>
      <c r="J393" s="1204"/>
      <c r="K393" s="1199"/>
      <c r="L393" s="1199"/>
      <c r="M393" s="672" t="s">
        <v>124</v>
      </c>
      <c r="N393" s="550"/>
      <c r="O393" s="544">
        <v>10110.5</v>
      </c>
      <c r="P393" s="544">
        <v>10110.5</v>
      </c>
      <c r="Q393" s="552">
        <v>10110.5</v>
      </c>
    </row>
    <row r="394" spans="2:17" ht="16.5" thickBot="1" x14ac:dyDescent="0.3">
      <c r="B394" s="1241"/>
      <c r="C394" s="1216"/>
      <c r="D394" s="555"/>
      <c r="E394" s="1237"/>
      <c r="F394" s="1235"/>
      <c r="G394" s="1235"/>
      <c r="H394" s="1291"/>
      <c r="I394" s="1237"/>
      <c r="J394" s="1205"/>
      <c r="K394" s="1208"/>
      <c r="L394" s="1208"/>
      <c r="M394" s="547" t="s">
        <v>745</v>
      </c>
      <c r="N394" s="549"/>
      <c r="O394" s="551">
        <v>0</v>
      </c>
      <c r="P394" s="551">
        <v>0</v>
      </c>
      <c r="Q394" s="552">
        <v>0</v>
      </c>
    </row>
    <row r="395" spans="2:17" ht="16.5" thickBot="1" x14ac:dyDescent="0.3">
      <c r="B395" s="1240" t="s">
        <v>172</v>
      </c>
      <c r="C395" s="1192">
        <v>69211</v>
      </c>
      <c r="D395" s="555">
        <v>27301832</v>
      </c>
      <c r="E395" s="1236" t="s">
        <v>385</v>
      </c>
      <c r="F395" s="1234" t="s">
        <v>286</v>
      </c>
      <c r="G395" s="1234" t="s">
        <v>187</v>
      </c>
      <c r="H395" s="1312" t="s">
        <v>241</v>
      </c>
      <c r="I395" s="1236">
        <f>12+208+190</f>
        <v>410</v>
      </c>
      <c r="J395" s="1204" t="s">
        <v>528</v>
      </c>
      <c r="K395" s="1199">
        <f>12+208+190</f>
        <v>410</v>
      </c>
      <c r="L395" s="1199">
        <f>12+208+190</f>
        <v>410</v>
      </c>
      <c r="M395" s="542" t="s">
        <v>122</v>
      </c>
      <c r="N395" s="543"/>
      <c r="O395" s="544">
        <f>O396+O397</f>
        <v>11291.92</v>
      </c>
      <c r="P395" s="544">
        <f>P396+P397</f>
        <v>11291.92</v>
      </c>
      <c r="Q395" s="675">
        <f>Q396+Q397</f>
        <v>11291.92</v>
      </c>
    </row>
    <row r="396" spans="2:17" ht="16.5" thickBot="1" x14ac:dyDescent="0.3">
      <c r="B396" s="1204"/>
      <c r="C396" s="1192"/>
      <c r="D396" s="555"/>
      <c r="E396" s="1199"/>
      <c r="F396" s="1201"/>
      <c r="G396" s="1201"/>
      <c r="H396" s="1209"/>
      <c r="I396" s="1199"/>
      <c r="J396" s="1204"/>
      <c r="K396" s="1199"/>
      <c r="L396" s="1199"/>
      <c r="M396" s="636" t="s">
        <v>123</v>
      </c>
      <c r="N396" s="549"/>
      <c r="O396" s="544">
        <v>0</v>
      </c>
      <c r="P396" s="544">
        <v>0</v>
      </c>
      <c r="Q396" s="675">
        <v>0</v>
      </c>
    </row>
    <row r="397" spans="2:17" ht="16.5" thickBot="1" x14ac:dyDescent="0.3">
      <c r="B397" s="1204"/>
      <c r="C397" s="1192"/>
      <c r="D397" s="555"/>
      <c r="E397" s="1199"/>
      <c r="F397" s="1201"/>
      <c r="G397" s="1201"/>
      <c r="H397" s="1209"/>
      <c r="I397" s="1199"/>
      <c r="J397" s="1204"/>
      <c r="K397" s="1199"/>
      <c r="L397" s="1199"/>
      <c r="M397" s="672" t="s">
        <v>124</v>
      </c>
      <c r="N397" s="550"/>
      <c r="O397" s="544">
        <v>11291.92</v>
      </c>
      <c r="P397" s="544">
        <v>11291.92</v>
      </c>
      <c r="Q397" s="552">
        <v>11291.92</v>
      </c>
    </row>
    <row r="398" spans="2:17" ht="16.5" thickBot="1" x14ac:dyDescent="0.3">
      <c r="B398" s="1204"/>
      <c r="C398" s="1216"/>
      <c r="D398" s="555"/>
      <c r="E398" s="1199"/>
      <c r="F398" s="1202"/>
      <c r="G398" s="1202"/>
      <c r="H398" s="1209"/>
      <c r="I398" s="1199"/>
      <c r="J398" s="1205"/>
      <c r="K398" s="1199"/>
      <c r="L398" s="1199"/>
      <c r="M398" s="547" t="s">
        <v>745</v>
      </c>
      <c r="N398" s="549"/>
      <c r="O398" s="551">
        <v>0</v>
      </c>
      <c r="P398" s="551">
        <v>0</v>
      </c>
      <c r="Q398" s="552">
        <v>0</v>
      </c>
    </row>
    <row r="399" spans="2:17" ht="16.5" thickBot="1" x14ac:dyDescent="0.3">
      <c r="B399" s="1206" t="s">
        <v>172</v>
      </c>
      <c r="C399" s="1192">
        <v>69211</v>
      </c>
      <c r="D399" s="555">
        <v>27302165</v>
      </c>
      <c r="E399" s="1207" t="s">
        <v>422</v>
      </c>
      <c r="F399" s="1200" t="s">
        <v>286</v>
      </c>
      <c r="G399" s="1200" t="s">
        <v>187</v>
      </c>
      <c r="H399" s="1232" t="s">
        <v>241</v>
      </c>
      <c r="I399" s="1207">
        <f>12+233+208</f>
        <v>453</v>
      </c>
      <c r="J399" s="1204" t="s">
        <v>528</v>
      </c>
      <c r="K399" s="1207">
        <f>12+233+208</f>
        <v>453</v>
      </c>
      <c r="L399" s="1207">
        <f>12+233+208</f>
        <v>453</v>
      </c>
      <c r="M399" s="542" t="s">
        <v>122</v>
      </c>
      <c r="N399" s="543"/>
      <c r="O399" s="544">
        <f>O400+O401</f>
        <v>37966.720000000001</v>
      </c>
      <c r="P399" s="544">
        <f>P400+P401</f>
        <v>37966.720000000001</v>
      </c>
      <c r="Q399" s="675">
        <f>Q400+Q401</f>
        <v>37966.720000000001</v>
      </c>
    </row>
    <row r="400" spans="2:17" ht="16.5" thickBot="1" x14ac:dyDescent="0.3">
      <c r="B400" s="1204"/>
      <c r="C400" s="1192"/>
      <c r="D400" s="555"/>
      <c r="E400" s="1199"/>
      <c r="F400" s="1201"/>
      <c r="G400" s="1201"/>
      <c r="H400" s="1209"/>
      <c r="I400" s="1199"/>
      <c r="J400" s="1204"/>
      <c r="K400" s="1199"/>
      <c r="L400" s="1199"/>
      <c r="M400" s="636" t="s">
        <v>123</v>
      </c>
      <c r="N400" s="549"/>
      <c r="O400" s="544">
        <v>0</v>
      </c>
      <c r="P400" s="544">
        <v>0</v>
      </c>
      <c r="Q400" s="675">
        <v>0</v>
      </c>
    </row>
    <row r="401" spans="2:17" ht="16.5" thickBot="1" x14ac:dyDescent="0.3">
      <c r="B401" s="1204"/>
      <c r="C401" s="1192"/>
      <c r="D401" s="555"/>
      <c r="E401" s="1199"/>
      <c r="F401" s="1201"/>
      <c r="G401" s="1201"/>
      <c r="H401" s="1209"/>
      <c r="I401" s="1199"/>
      <c r="J401" s="1204"/>
      <c r="K401" s="1199"/>
      <c r="L401" s="1199"/>
      <c r="M401" s="672" t="s">
        <v>124</v>
      </c>
      <c r="N401" s="550"/>
      <c r="O401" s="544">
        <v>37966.720000000001</v>
      </c>
      <c r="P401" s="544">
        <v>37966.720000000001</v>
      </c>
      <c r="Q401" s="552">
        <v>37966.720000000001</v>
      </c>
    </row>
    <row r="402" spans="2:17" ht="16.5" thickBot="1" x14ac:dyDescent="0.3">
      <c r="B402" s="1205"/>
      <c r="C402" s="1216"/>
      <c r="D402" s="555"/>
      <c r="E402" s="1208"/>
      <c r="F402" s="1202"/>
      <c r="G402" s="1202"/>
      <c r="H402" s="1210"/>
      <c r="I402" s="1208"/>
      <c r="J402" s="1205"/>
      <c r="K402" s="1208"/>
      <c r="L402" s="1208"/>
      <c r="M402" s="547" t="s">
        <v>745</v>
      </c>
      <c r="N402" s="549"/>
      <c r="O402" s="551">
        <v>0</v>
      </c>
      <c r="P402" s="551">
        <v>0</v>
      </c>
      <c r="Q402" s="552">
        <v>0</v>
      </c>
    </row>
    <row r="403" spans="2:17" ht="16.5" thickBot="1" x14ac:dyDescent="0.3">
      <c r="B403" s="1206" t="s">
        <v>172</v>
      </c>
      <c r="C403" s="1192">
        <v>69211</v>
      </c>
      <c r="D403" s="555">
        <v>27301821</v>
      </c>
      <c r="E403" s="1207" t="s">
        <v>525</v>
      </c>
      <c r="F403" s="1201" t="s">
        <v>286</v>
      </c>
      <c r="G403" s="1200" t="s">
        <v>187</v>
      </c>
      <c r="H403" s="1209" t="s">
        <v>241</v>
      </c>
      <c r="I403" s="1207">
        <f>4+99+160+6+74+120</f>
        <v>463</v>
      </c>
      <c r="J403" s="1204" t="s">
        <v>528</v>
      </c>
      <c r="K403" s="1207">
        <f>4+99+160+6+74+120</f>
        <v>463</v>
      </c>
      <c r="L403" s="1207">
        <f>4+99+160+6+74+120</f>
        <v>463</v>
      </c>
      <c r="M403" s="542" t="s">
        <v>122</v>
      </c>
      <c r="N403" s="543"/>
      <c r="O403" s="544">
        <f>O404+O405</f>
        <v>16630.490000000002</v>
      </c>
      <c r="P403" s="544">
        <f>P404+P405</f>
        <v>16630.490000000002</v>
      </c>
      <c r="Q403" s="675">
        <f>Q404+Q405</f>
        <v>16630.490000000002</v>
      </c>
    </row>
    <row r="404" spans="2:17" ht="16.5" thickBot="1" x14ac:dyDescent="0.3">
      <c r="B404" s="1204"/>
      <c r="C404" s="1192"/>
      <c r="D404" s="680"/>
      <c r="E404" s="1199"/>
      <c r="F404" s="1201"/>
      <c r="G404" s="1201"/>
      <c r="H404" s="1209"/>
      <c r="I404" s="1199"/>
      <c r="J404" s="1204"/>
      <c r="K404" s="1199"/>
      <c r="L404" s="1199"/>
      <c r="M404" s="636" t="s">
        <v>123</v>
      </c>
      <c r="N404" s="549"/>
      <c r="O404" s="544">
        <v>0</v>
      </c>
      <c r="P404" s="544">
        <v>0</v>
      </c>
      <c r="Q404" s="675">
        <v>0</v>
      </c>
    </row>
    <row r="405" spans="2:17" ht="16.5" thickBot="1" x14ac:dyDescent="0.3">
      <c r="B405" s="1204"/>
      <c r="C405" s="1192"/>
      <c r="D405" s="680"/>
      <c r="E405" s="1199"/>
      <c r="F405" s="1201"/>
      <c r="G405" s="1201"/>
      <c r="H405" s="1209"/>
      <c r="I405" s="1199"/>
      <c r="J405" s="1204"/>
      <c r="K405" s="1199"/>
      <c r="L405" s="1199"/>
      <c r="M405" s="672" t="s">
        <v>124</v>
      </c>
      <c r="N405" s="550"/>
      <c r="O405" s="544">
        <v>16630.490000000002</v>
      </c>
      <c r="P405" s="544">
        <v>16630.490000000002</v>
      </c>
      <c r="Q405" s="552">
        <v>16630.490000000002</v>
      </c>
    </row>
    <row r="406" spans="2:17" ht="16.5" thickBot="1" x14ac:dyDescent="0.3">
      <c r="B406" s="1205"/>
      <c r="C406" s="1216"/>
      <c r="D406" s="680"/>
      <c r="E406" s="1208"/>
      <c r="F406" s="1202"/>
      <c r="G406" s="1202"/>
      <c r="H406" s="1210"/>
      <c r="I406" s="1208"/>
      <c r="J406" s="1205"/>
      <c r="K406" s="1208"/>
      <c r="L406" s="1208"/>
      <c r="M406" s="547" t="s">
        <v>745</v>
      </c>
      <c r="N406" s="549"/>
      <c r="O406" s="551">
        <v>0</v>
      </c>
      <c r="P406" s="551">
        <v>0</v>
      </c>
      <c r="Q406" s="552">
        <v>0</v>
      </c>
    </row>
    <row r="407" spans="2:17" ht="16.5" thickBot="1" x14ac:dyDescent="0.3">
      <c r="B407" s="1269" t="s">
        <v>172</v>
      </c>
      <c r="C407" s="1192">
        <v>69211</v>
      </c>
      <c r="D407" s="1229">
        <v>27301829</v>
      </c>
      <c r="E407" s="1207" t="s">
        <v>426</v>
      </c>
      <c r="F407" s="1207" t="s">
        <v>286</v>
      </c>
      <c r="G407" s="1207" t="s">
        <v>187</v>
      </c>
      <c r="H407" s="1232" t="s">
        <v>241</v>
      </c>
      <c r="I407" s="1207">
        <f>1+11+58+126</f>
        <v>196</v>
      </c>
      <c r="J407" s="1204" t="s">
        <v>528</v>
      </c>
      <c r="K407" s="1207">
        <f>1+11+58+126</f>
        <v>196</v>
      </c>
      <c r="L407" s="1207">
        <f>1+11+58+126</f>
        <v>196</v>
      </c>
      <c r="M407" s="542" t="s">
        <v>122</v>
      </c>
      <c r="N407" s="543"/>
      <c r="O407" s="544">
        <f>O408+O409</f>
        <v>10381.35</v>
      </c>
      <c r="P407" s="544">
        <f>P408+P409</f>
        <v>10381.35</v>
      </c>
      <c r="Q407" s="675">
        <f>Q408+Q409</f>
        <v>10381.35</v>
      </c>
    </row>
    <row r="408" spans="2:17" ht="16.5" thickBot="1" x14ac:dyDescent="0.3">
      <c r="B408" s="1270"/>
      <c r="C408" s="1192"/>
      <c r="D408" s="1230"/>
      <c r="E408" s="1199"/>
      <c r="F408" s="1199"/>
      <c r="G408" s="1199"/>
      <c r="H408" s="1209"/>
      <c r="I408" s="1199"/>
      <c r="J408" s="1204"/>
      <c r="K408" s="1199"/>
      <c r="L408" s="1199"/>
      <c r="M408" s="636" t="s">
        <v>123</v>
      </c>
      <c r="N408" s="549"/>
      <c r="O408" s="544">
        <v>0</v>
      </c>
      <c r="P408" s="544">
        <v>0</v>
      </c>
      <c r="Q408" s="552">
        <v>0</v>
      </c>
    </row>
    <row r="409" spans="2:17" ht="16.5" thickBot="1" x14ac:dyDescent="0.3">
      <c r="B409" s="1270"/>
      <c r="C409" s="1192"/>
      <c r="D409" s="1245"/>
      <c r="E409" s="1199"/>
      <c r="F409" s="1199"/>
      <c r="G409" s="1199"/>
      <c r="H409" s="1209"/>
      <c r="I409" s="1199"/>
      <c r="J409" s="1204"/>
      <c r="K409" s="1199"/>
      <c r="L409" s="1199"/>
      <c r="M409" s="672" t="s">
        <v>124</v>
      </c>
      <c r="N409" s="550"/>
      <c r="O409" s="544">
        <v>10381.35</v>
      </c>
      <c r="P409" s="544">
        <v>10381.35</v>
      </c>
      <c r="Q409" s="552">
        <v>10381.35</v>
      </c>
    </row>
    <row r="410" spans="2:17" ht="16.5" thickBot="1" x14ac:dyDescent="0.3">
      <c r="B410" s="1271"/>
      <c r="C410" s="1216"/>
      <c r="D410" s="674"/>
      <c r="E410" s="1208"/>
      <c r="F410" s="1208"/>
      <c r="G410" s="1208"/>
      <c r="H410" s="1210"/>
      <c r="I410" s="1208"/>
      <c r="J410" s="1205"/>
      <c r="K410" s="1208"/>
      <c r="L410" s="1208"/>
      <c r="M410" s="547" t="s">
        <v>745</v>
      </c>
      <c r="N410" s="549"/>
      <c r="O410" s="551">
        <v>0</v>
      </c>
      <c r="P410" s="551">
        <v>0</v>
      </c>
      <c r="Q410" s="552">
        <v>0</v>
      </c>
    </row>
    <row r="411" spans="2:17" ht="16.5" thickBot="1" x14ac:dyDescent="0.3">
      <c r="B411" s="1269" t="s">
        <v>172</v>
      </c>
      <c r="C411" s="1215">
        <v>69211</v>
      </c>
      <c r="D411" s="654">
        <v>27301967</v>
      </c>
      <c r="E411" s="1207" t="s">
        <v>459</v>
      </c>
      <c r="F411" s="1200" t="str">
        <f>F391</f>
        <v xml:space="preserve">Спортивная подготовка по олимпийским видам спорта </v>
      </c>
      <c r="G411" s="1200" t="s">
        <v>187</v>
      </c>
      <c r="H411" s="1232" t="s">
        <v>241</v>
      </c>
      <c r="I411" s="1207" t="s">
        <v>553</v>
      </c>
      <c r="J411" s="1206" t="s">
        <v>528</v>
      </c>
      <c r="K411" s="1207" t="s">
        <v>553</v>
      </c>
      <c r="L411" s="1207" t="s">
        <v>553</v>
      </c>
      <c r="M411" s="542" t="s">
        <v>122</v>
      </c>
      <c r="N411" s="543"/>
      <c r="O411" s="544">
        <f>O412+O413+O414</f>
        <v>3445.9969999999998</v>
      </c>
      <c r="P411" s="544">
        <f>P412+P413+P414</f>
        <v>3445.9969999999998</v>
      </c>
      <c r="Q411" s="552">
        <f>Q412+Q413+Q414</f>
        <v>3445.9969999999998</v>
      </c>
    </row>
    <row r="412" spans="2:17" ht="16.5" thickBot="1" x14ac:dyDescent="0.3">
      <c r="B412" s="1270"/>
      <c r="C412" s="1192"/>
      <c r="D412" s="682"/>
      <c r="E412" s="1199"/>
      <c r="F412" s="1201"/>
      <c r="G412" s="1201"/>
      <c r="H412" s="1209"/>
      <c r="I412" s="1199"/>
      <c r="J412" s="1204"/>
      <c r="K412" s="1199"/>
      <c r="L412" s="1199"/>
      <c r="M412" s="636" t="s">
        <v>123</v>
      </c>
      <c r="N412" s="549"/>
      <c r="O412" s="551">
        <v>0</v>
      </c>
      <c r="P412" s="551">
        <v>0</v>
      </c>
      <c r="Q412" s="552">
        <v>0</v>
      </c>
    </row>
    <row r="413" spans="2:17" ht="16.5" thickBot="1" x14ac:dyDescent="0.3">
      <c r="B413" s="1270"/>
      <c r="C413" s="1192"/>
      <c r="D413" s="682"/>
      <c r="E413" s="1199"/>
      <c r="F413" s="1201"/>
      <c r="G413" s="1201"/>
      <c r="H413" s="1209"/>
      <c r="I413" s="1199"/>
      <c r="J413" s="1204"/>
      <c r="K413" s="1199"/>
      <c r="L413" s="1199"/>
      <c r="M413" s="672" t="s">
        <v>124</v>
      </c>
      <c r="N413" s="550"/>
      <c r="O413" s="544">
        <v>3445.9969999999998</v>
      </c>
      <c r="P413" s="544">
        <v>3445.9969999999998</v>
      </c>
      <c r="Q413" s="544">
        <v>3445.9969999999998</v>
      </c>
    </row>
    <row r="414" spans="2:17" ht="16.5" thickBot="1" x14ac:dyDescent="0.3">
      <c r="B414" s="1271"/>
      <c r="C414" s="1216"/>
      <c r="D414" s="674"/>
      <c r="E414" s="1208"/>
      <c r="F414" s="1202"/>
      <c r="G414" s="1202"/>
      <c r="H414" s="1210"/>
      <c r="I414" s="1208"/>
      <c r="J414" s="1205"/>
      <c r="K414" s="1208"/>
      <c r="L414" s="1208"/>
      <c r="M414" s="547" t="s">
        <v>745</v>
      </c>
      <c r="N414" s="549"/>
      <c r="O414" s="551">
        <v>0</v>
      </c>
      <c r="P414" s="551">
        <v>0</v>
      </c>
      <c r="Q414" s="552">
        <v>0</v>
      </c>
    </row>
    <row r="415" spans="2:17" ht="16.5" thickBot="1" x14ac:dyDescent="0.3">
      <c r="B415" s="1206" t="s">
        <v>172</v>
      </c>
      <c r="C415" s="1215">
        <v>69211</v>
      </c>
      <c r="D415" s="654" t="s">
        <v>532</v>
      </c>
      <c r="E415" s="1207" t="s">
        <v>460</v>
      </c>
      <c r="F415" s="1200" t="s">
        <v>286</v>
      </c>
      <c r="G415" s="1200" t="s">
        <v>187</v>
      </c>
      <c r="H415" s="1232" t="s">
        <v>241</v>
      </c>
      <c r="I415" s="1207">
        <f>87+69+3+20+28+30</f>
        <v>237</v>
      </c>
      <c r="J415" s="1206" t="s">
        <v>528</v>
      </c>
      <c r="K415" s="1207">
        <f>87+69+3+20+28+30</f>
        <v>237</v>
      </c>
      <c r="L415" s="1207">
        <f>87+69+3+20+28+30</f>
        <v>237</v>
      </c>
      <c r="M415" s="542" t="s">
        <v>122</v>
      </c>
      <c r="N415" s="543"/>
      <c r="O415" s="544">
        <f>O416+O417</f>
        <v>31490.25</v>
      </c>
      <c r="P415" s="544">
        <f>P416+P417</f>
        <v>31490.25</v>
      </c>
      <c r="Q415" s="675">
        <f>Q416+Q417</f>
        <v>31490.25</v>
      </c>
    </row>
    <row r="416" spans="2:17" ht="16.5" thickBot="1" x14ac:dyDescent="0.3">
      <c r="B416" s="1204"/>
      <c r="C416" s="1192"/>
      <c r="D416" s="682"/>
      <c r="E416" s="1199"/>
      <c r="F416" s="1201"/>
      <c r="G416" s="1201"/>
      <c r="H416" s="1209"/>
      <c r="I416" s="1199"/>
      <c r="J416" s="1204"/>
      <c r="K416" s="1199"/>
      <c r="L416" s="1199"/>
      <c r="M416" s="636" t="s">
        <v>123</v>
      </c>
      <c r="N416" s="549"/>
      <c r="O416" s="551">
        <v>0</v>
      </c>
      <c r="P416" s="551">
        <v>0</v>
      </c>
      <c r="Q416" s="552">
        <v>0</v>
      </c>
    </row>
    <row r="417" spans="2:28" ht="16.5" thickBot="1" x14ac:dyDescent="0.3">
      <c r="B417" s="1204"/>
      <c r="C417" s="1192"/>
      <c r="D417" s="682"/>
      <c r="E417" s="1199"/>
      <c r="F417" s="1201"/>
      <c r="G417" s="1201"/>
      <c r="H417" s="1209"/>
      <c r="I417" s="1199"/>
      <c r="J417" s="1204"/>
      <c r="K417" s="1199"/>
      <c r="L417" s="1199"/>
      <c r="M417" s="672" t="s">
        <v>124</v>
      </c>
      <c r="N417" s="550"/>
      <c r="O417" s="544">
        <v>31490.25</v>
      </c>
      <c r="P417" s="544">
        <v>31490.25</v>
      </c>
      <c r="Q417" s="552">
        <v>31490.25</v>
      </c>
    </row>
    <row r="418" spans="2:28" ht="16.5" thickBot="1" x14ac:dyDescent="0.3">
      <c r="B418" s="1205"/>
      <c r="C418" s="1216"/>
      <c r="D418" s="674"/>
      <c r="E418" s="1208"/>
      <c r="F418" s="1202"/>
      <c r="G418" s="1202"/>
      <c r="H418" s="1210"/>
      <c r="I418" s="1208"/>
      <c r="J418" s="1205"/>
      <c r="K418" s="1208"/>
      <c r="L418" s="1208"/>
      <c r="M418" s="547" t="s">
        <v>745</v>
      </c>
      <c r="N418" s="549"/>
      <c r="O418" s="551">
        <v>0</v>
      </c>
      <c r="P418" s="551">
        <v>0</v>
      </c>
      <c r="Q418" s="552">
        <v>0</v>
      </c>
    </row>
    <row r="419" spans="2:28" ht="16.5" thickBot="1" x14ac:dyDescent="0.3">
      <c r="B419" s="1206" t="s">
        <v>172</v>
      </c>
      <c r="C419" s="1215">
        <v>69211</v>
      </c>
      <c r="D419" s="673"/>
      <c r="E419" s="1207" t="s">
        <v>458</v>
      </c>
      <c r="F419" s="1200" t="s">
        <v>286</v>
      </c>
      <c r="G419" s="1200" t="s">
        <v>187</v>
      </c>
      <c r="H419" s="1232" t="s">
        <v>241</v>
      </c>
      <c r="I419" s="1207">
        <v>3</v>
      </c>
      <c r="J419" s="1206" t="s">
        <v>528</v>
      </c>
      <c r="K419" s="1207">
        <v>3</v>
      </c>
      <c r="L419" s="1207">
        <v>3</v>
      </c>
      <c r="M419" s="542" t="s">
        <v>122</v>
      </c>
      <c r="N419" s="543"/>
      <c r="O419" s="544">
        <v>7777</v>
      </c>
      <c r="P419" s="544">
        <f>P420+P421+P422</f>
        <v>1614.53</v>
      </c>
      <c r="Q419" s="675">
        <f>Q420+Q421+Q422</f>
        <v>1614.53</v>
      </c>
    </row>
    <row r="420" spans="2:28" ht="16.5" thickBot="1" x14ac:dyDescent="0.3">
      <c r="B420" s="1204"/>
      <c r="C420" s="1192"/>
      <c r="D420" s="673"/>
      <c r="E420" s="1199"/>
      <c r="F420" s="1201"/>
      <c r="G420" s="1201"/>
      <c r="H420" s="1209"/>
      <c r="I420" s="1199"/>
      <c r="J420" s="1204"/>
      <c r="K420" s="1199"/>
      <c r="L420" s="1199"/>
      <c r="M420" s="636" t="s">
        <v>123</v>
      </c>
      <c r="N420" s="543"/>
      <c r="O420" s="551">
        <v>0</v>
      </c>
      <c r="P420" s="551">
        <v>0</v>
      </c>
      <c r="Q420" s="552">
        <v>0</v>
      </c>
    </row>
    <row r="421" spans="2:28" ht="16.5" thickBot="1" x14ac:dyDescent="0.3">
      <c r="B421" s="1204"/>
      <c r="C421" s="1192"/>
      <c r="D421" s="673"/>
      <c r="E421" s="1199"/>
      <c r="F421" s="1201"/>
      <c r="G421" s="1201"/>
      <c r="H421" s="1209"/>
      <c r="I421" s="1199"/>
      <c r="J421" s="1204"/>
      <c r="K421" s="1199"/>
      <c r="L421" s="1199"/>
      <c r="M421" s="672" t="s">
        <v>124</v>
      </c>
      <c r="N421" s="543"/>
      <c r="O421" s="544">
        <v>1614.53</v>
      </c>
      <c r="P421" s="544">
        <v>1614.53</v>
      </c>
      <c r="Q421" s="552">
        <v>1614.53</v>
      </c>
    </row>
    <row r="422" spans="2:28" ht="16.5" thickBot="1" x14ac:dyDescent="0.3">
      <c r="B422" s="1205"/>
      <c r="C422" s="1216"/>
      <c r="D422" s="673"/>
      <c r="E422" s="1208"/>
      <c r="F422" s="1202"/>
      <c r="G422" s="1202"/>
      <c r="H422" s="1210"/>
      <c r="I422" s="1208"/>
      <c r="J422" s="1205"/>
      <c r="K422" s="1208"/>
      <c r="L422" s="1208"/>
      <c r="M422" s="547" t="s">
        <v>745</v>
      </c>
      <c r="N422" s="549"/>
      <c r="O422" s="551">
        <v>0</v>
      </c>
      <c r="P422" s="551">
        <v>0</v>
      </c>
      <c r="Q422" s="552">
        <v>0</v>
      </c>
    </row>
    <row r="423" spans="2:28" ht="16.5" thickBot="1" x14ac:dyDescent="0.3">
      <c r="B423" s="1206" t="s">
        <v>172</v>
      </c>
      <c r="C423" s="1215">
        <v>69211</v>
      </c>
      <c r="D423" s="654">
        <v>27300364</v>
      </c>
      <c r="E423" s="1207" t="s">
        <v>192</v>
      </c>
      <c r="F423" s="1200" t="s">
        <v>635</v>
      </c>
      <c r="G423" s="1207" t="s">
        <v>116</v>
      </c>
      <c r="H423" s="1232" t="s">
        <v>116</v>
      </c>
      <c r="I423" s="1207" t="s">
        <v>116</v>
      </c>
      <c r="J423" s="1206" t="s">
        <v>528</v>
      </c>
      <c r="K423" s="1207" t="s">
        <v>116</v>
      </c>
      <c r="L423" s="1207" t="s">
        <v>116</v>
      </c>
      <c r="M423" s="542" t="s">
        <v>122</v>
      </c>
      <c r="N423" s="543"/>
      <c r="O423" s="544">
        <f>O424+O425+O426</f>
        <v>980.44970000000001</v>
      </c>
      <c r="P423" s="544">
        <f>P424+P425+P426</f>
        <v>3219.74</v>
      </c>
      <c r="Q423" s="675">
        <f>Q424+Q425+Q426</f>
        <v>5196.04</v>
      </c>
    </row>
    <row r="424" spans="2:28" ht="16.5" thickBot="1" x14ac:dyDescent="0.3">
      <c r="B424" s="1204"/>
      <c r="C424" s="1192"/>
      <c r="D424" s="555"/>
      <c r="E424" s="1199"/>
      <c r="F424" s="1201"/>
      <c r="G424" s="1199"/>
      <c r="H424" s="1209"/>
      <c r="I424" s="1199"/>
      <c r="J424" s="1204"/>
      <c r="K424" s="1199"/>
      <c r="L424" s="1199"/>
      <c r="M424" s="636" t="s">
        <v>123</v>
      </c>
      <c r="N424" s="549"/>
      <c r="O424" s="544">
        <v>0</v>
      </c>
      <c r="P424" s="544">
        <v>0</v>
      </c>
      <c r="Q424" s="675">
        <v>0</v>
      </c>
    </row>
    <row r="425" spans="2:28" ht="16.5" thickBot="1" x14ac:dyDescent="0.3">
      <c r="B425" s="1204"/>
      <c r="C425" s="1192"/>
      <c r="D425" s="555"/>
      <c r="E425" s="1199"/>
      <c r="F425" s="1201"/>
      <c r="G425" s="1199"/>
      <c r="H425" s="1209"/>
      <c r="I425" s="1199"/>
      <c r="J425" s="1204"/>
      <c r="K425" s="1199"/>
      <c r="L425" s="1199"/>
      <c r="M425" s="672" t="s">
        <v>124</v>
      </c>
      <c r="N425" s="550"/>
      <c r="O425" s="544">
        <v>980.44970000000001</v>
      </c>
      <c r="P425" s="544">
        <v>3219.74</v>
      </c>
      <c r="Q425" s="675">
        <v>5196.04</v>
      </c>
    </row>
    <row r="426" spans="2:28" ht="16.5" thickBot="1" x14ac:dyDescent="0.3">
      <c r="B426" s="1205"/>
      <c r="C426" s="1216"/>
      <c r="D426" s="558"/>
      <c r="E426" s="1208"/>
      <c r="F426" s="1202"/>
      <c r="G426" s="1208"/>
      <c r="H426" s="1210"/>
      <c r="I426" s="1208"/>
      <c r="J426" s="1205"/>
      <c r="K426" s="1208"/>
      <c r="L426" s="1208"/>
      <c r="M426" s="547" t="s">
        <v>745</v>
      </c>
      <c r="N426" s="549"/>
      <c r="O426" s="551">
        <v>0</v>
      </c>
      <c r="P426" s="551">
        <v>0</v>
      </c>
      <c r="Q426" s="552">
        <v>0</v>
      </c>
    </row>
    <row r="427" spans="2:28" ht="16.5" thickBot="1" x14ac:dyDescent="0.3">
      <c r="B427" s="1206" t="s">
        <v>172</v>
      </c>
      <c r="C427" s="1308">
        <v>69212</v>
      </c>
      <c r="D427" s="704"/>
      <c r="E427" s="1232" t="s">
        <v>116</v>
      </c>
      <c r="F427" s="1200" t="s">
        <v>1066</v>
      </c>
      <c r="G427" s="1207" t="s">
        <v>187</v>
      </c>
      <c r="H427" s="1232" t="s">
        <v>116</v>
      </c>
      <c r="I427" s="1207">
        <f>I431+I435</f>
        <v>58</v>
      </c>
      <c r="J427" s="1206" t="s">
        <v>528</v>
      </c>
      <c r="K427" s="1232">
        <f>K431+K435</f>
        <v>58</v>
      </c>
      <c r="L427" s="1207">
        <f>L431+L435</f>
        <v>58</v>
      </c>
      <c r="M427" s="542" t="s">
        <v>122</v>
      </c>
      <c r="N427" s="563"/>
      <c r="O427" s="681">
        <f>O428+O429</f>
        <v>7075.33</v>
      </c>
      <c r="P427" s="552">
        <f>P428+P429</f>
        <v>7537.88</v>
      </c>
      <c r="Q427" s="552">
        <f>Q428+Q429</f>
        <v>7968.58</v>
      </c>
      <c r="R427" s="51">
        <f>7075330.78/1000</f>
        <v>7075.3307800000002</v>
      </c>
      <c r="S427" s="51">
        <f>7537876/1000</f>
        <v>7537.8760000000002</v>
      </c>
      <c r="T427" s="51">
        <f>7968582/1000</f>
        <v>7968.5820000000003</v>
      </c>
      <c r="V427" s="51">
        <v>7075.33</v>
      </c>
      <c r="W427" s="51">
        <v>7537.88</v>
      </c>
      <c r="X427" s="51">
        <v>7968.58</v>
      </c>
      <c r="Z427" s="776">
        <f>V427-O427</f>
        <v>0</v>
      </c>
      <c r="AA427" s="776">
        <f>W427-P427</f>
        <v>0</v>
      </c>
      <c r="AB427" s="776">
        <f>X427-Q427</f>
        <v>0</v>
      </c>
    </row>
    <row r="428" spans="2:28" ht="16.5" thickBot="1" x14ac:dyDescent="0.3">
      <c r="B428" s="1204"/>
      <c r="C428" s="1259"/>
      <c r="D428" s="694"/>
      <c r="E428" s="1209"/>
      <c r="F428" s="1201"/>
      <c r="G428" s="1199"/>
      <c r="H428" s="1209"/>
      <c r="I428" s="1199"/>
      <c r="J428" s="1204"/>
      <c r="K428" s="1209"/>
      <c r="L428" s="1199"/>
      <c r="M428" s="636" t="s">
        <v>123</v>
      </c>
      <c r="N428" s="550"/>
      <c r="O428" s="681">
        <v>0</v>
      </c>
      <c r="P428" s="552">
        <v>0</v>
      </c>
      <c r="Q428" s="552">
        <v>0</v>
      </c>
      <c r="R428" s="51">
        <f>R427-O427</f>
        <v>7.8000000030442607E-4</v>
      </c>
      <c r="S428" s="51">
        <f>S427-P427</f>
        <v>-3.9999999999054126E-3</v>
      </c>
      <c r="T428" s="51">
        <f>T427-Q427</f>
        <v>2.0000000004074536E-3</v>
      </c>
    </row>
    <row r="429" spans="2:28" ht="16.5" thickBot="1" x14ac:dyDescent="0.3">
      <c r="B429" s="1204"/>
      <c r="C429" s="1259"/>
      <c r="D429" s="694"/>
      <c r="E429" s="1209"/>
      <c r="F429" s="1201"/>
      <c r="G429" s="1199"/>
      <c r="H429" s="1209"/>
      <c r="I429" s="1199"/>
      <c r="J429" s="1204"/>
      <c r="K429" s="1209"/>
      <c r="L429" s="1199"/>
      <c r="M429" s="672" t="s">
        <v>124</v>
      </c>
      <c r="N429" s="550"/>
      <c r="O429" s="551">
        <f>O433+O437+O441</f>
        <v>7075.33</v>
      </c>
      <c r="P429" s="552">
        <f>P433+P437+P441</f>
        <v>7537.88</v>
      </c>
      <c r="Q429" s="549">
        <f>Q433+Q437+Q441</f>
        <v>7968.58</v>
      </c>
    </row>
    <row r="430" spans="2:28" ht="16.5" thickBot="1" x14ac:dyDescent="0.3">
      <c r="B430" s="1204"/>
      <c r="C430" s="1259"/>
      <c r="D430" s="694" t="s">
        <v>116</v>
      </c>
      <c r="E430" s="1209"/>
      <c r="F430" s="1201"/>
      <c r="G430" s="1199"/>
      <c r="H430" s="1209"/>
      <c r="I430" s="1199"/>
      <c r="J430" s="1204"/>
      <c r="K430" s="1209"/>
      <c r="L430" s="1199"/>
      <c r="M430" s="671" t="s">
        <v>745</v>
      </c>
      <c r="N430" s="550"/>
      <c r="O430" s="681">
        <v>0</v>
      </c>
      <c r="P430" s="676">
        <v>0</v>
      </c>
      <c r="Q430" s="676">
        <v>0</v>
      </c>
    </row>
    <row r="431" spans="2:28" ht="16.5" thickBot="1" x14ac:dyDescent="0.3">
      <c r="B431" s="1206" t="s">
        <v>172</v>
      </c>
      <c r="C431" s="1215">
        <v>69212</v>
      </c>
      <c r="D431" s="654"/>
      <c r="E431" s="1207" t="s">
        <v>449</v>
      </c>
      <c r="F431" s="1200" t="s">
        <v>448</v>
      </c>
      <c r="G431" s="1207" t="s">
        <v>187</v>
      </c>
      <c r="H431" s="1207" t="s">
        <v>241</v>
      </c>
      <c r="I431" s="1207">
        <v>21</v>
      </c>
      <c r="J431" s="1206" t="s">
        <v>528</v>
      </c>
      <c r="K431" s="1207">
        <v>21</v>
      </c>
      <c r="L431" s="1207">
        <v>21</v>
      </c>
      <c r="M431" s="542" t="s">
        <v>122</v>
      </c>
      <c r="N431" s="543"/>
      <c r="O431" s="544">
        <f>O432+O433</f>
        <v>2333.62</v>
      </c>
      <c r="P431" s="544">
        <f>P432+P433</f>
        <v>2333.62</v>
      </c>
      <c r="Q431" s="675">
        <f>Q432+Q433</f>
        <v>2333.62</v>
      </c>
    </row>
    <row r="432" spans="2:28" ht="16.5" thickBot="1" x14ac:dyDescent="0.3">
      <c r="B432" s="1204"/>
      <c r="C432" s="1192"/>
      <c r="D432" s="555"/>
      <c r="E432" s="1199"/>
      <c r="F432" s="1201"/>
      <c r="G432" s="1199"/>
      <c r="H432" s="1199"/>
      <c r="I432" s="1199"/>
      <c r="J432" s="1204"/>
      <c r="K432" s="1199"/>
      <c r="L432" s="1199"/>
      <c r="M432" s="636" t="s">
        <v>123</v>
      </c>
      <c r="N432" s="549"/>
      <c r="O432" s="544">
        <v>0</v>
      </c>
      <c r="P432" s="544">
        <v>0</v>
      </c>
      <c r="Q432" s="552">
        <v>0</v>
      </c>
    </row>
    <row r="433" spans="2:28" ht="16.5" thickBot="1" x14ac:dyDescent="0.3">
      <c r="B433" s="1204"/>
      <c r="C433" s="1192"/>
      <c r="D433" s="555"/>
      <c r="E433" s="1199"/>
      <c r="F433" s="1201"/>
      <c r="G433" s="1199"/>
      <c r="H433" s="1199"/>
      <c r="I433" s="1199"/>
      <c r="J433" s="1204"/>
      <c r="K433" s="1199"/>
      <c r="L433" s="1199"/>
      <c r="M433" s="672" t="s">
        <v>124</v>
      </c>
      <c r="N433" s="550"/>
      <c r="O433" s="544">
        <v>2333.62</v>
      </c>
      <c r="P433" s="544">
        <v>2333.62</v>
      </c>
      <c r="Q433" s="675">
        <v>2333.62</v>
      </c>
    </row>
    <row r="434" spans="2:28" ht="16.5" thickBot="1" x14ac:dyDescent="0.3">
      <c r="B434" s="1205"/>
      <c r="C434" s="1216"/>
      <c r="D434" s="558"/>
      <c r="E434" s="1208"/>
      <c r="F434" s="1202"/>
      <c r="G434" s="1208"/>
      <c r="H434" s="1208"/>
      <c r="I434" s="1208"/>
      <c r="J434" s="1205"/>
      <c r="K434" s="1208"/>
      <c r="L434" s="1208"/>
      <c r="M434" s="547" t="s">
        <v>745</v>
      </c>
      <c r="N434" s="549"/>
      <c r="O434" s="551">
        <v>0</v>
      </c>
      <c r="P434" s="551">
        <v>0</v>
      </c>
      <c r="Q434" s="552">
        <v>0</v>
      </c>
    </row>
    <row r="435" spans="2:28" ht="16.5" thickBot="1" x14ac:dyDescent="0.3">
      <c r="B435" s="1206" t="s">
        <v>172</v>
      </c>
      <c r="C435" s="1215">
        <v>69212</v>
      </c>
      <c r="D435" s="654"/>
      <c r="E435" s="1207" t="s">
        <v>426</v>
      </c>
      <c r="F435" s="1200" t="s">
        <v>448</v>
      </c>
      <c r="G435" s="1207" t="s">
        <v>187</v>
      </c>
      <c r="H435" s="1207" t="s">
        <v>241</v>
      </c>
      <c r="I435" s="1207">
        <v>37</v>
      </c>
      <c r="J435" s="1206" t="s">
        <v>528</v>
      </c>
      <c r="K435" s="1207">
        <v>37</v>
      </c>
      <c r="L435" s="1207">
        <v>37</v>
      </c>
      <c r="M435" s="542" t="s">
        <v>122</v>
      </c>
      <c r="N435" s="543"/>
      <c r="O435" s="544">
        <f>O436+O437</f>
        <v>4641.63</v>
      </c>
      <c r="P435" s="544">
        <f>P436+P437</f>
        <v>4641.63</v>
      </c>
      <c r="Q435" s="675">
        <f>Q436+Q437</f>
        <v>4641.63</v>
      </c>
    </row>
    <row r="436" spans="2:28" ht="16.5" thickBot="1" x14ac:dyDescent="0.3">
      <c r="B436" s="1204"/>
      <c r="C436" s="1192"/>
      <c r="D436" s="555"/>
      <c r="E436" s="1199"/>
      <c r="F436" s="1201"/>
      <c r="G436" s="1199"/>
      <c r="H436" s="1199"/>
      <c r="I436" s="1199"/>
      <c r="J436" s="1204"/>
      <c r="K436" s="1199"/>
      <c r="L436" s="1199"/>
      <c r="M436" s="636" t="s">
        <v>123</v>
      </c>
      <c r="N436" s="549"/>
      <c r="O436" s="544">
        <v>0</v>
      </c>
      <c r="P436" s="544">
        <v>0</v>
      </c>
      <c r="Q436" s="552">
        <v>0</v>
      </c>
    </row>
    <row r="437" spans="2:28" ht="16.5" thickBot="1" x14ac:dyDescent="0.3">
      <c r="B437" s="1204"/>
      <c r="C437" s="1192"/>
      <c r="D437" s="555"/>
      <c r="E437" s="1199"/>
      <c r="F437" s="1201"/>
      <c r="G437" s="1199"/>
      <c r="H437" s="1199"/>
      <c r="I437" s="1199"/>
      <c r="J437" s="1204"/>
      <c r="K437" s="1199"/>
      <c r="L437" s="1199"/>
      <c r="M437" s="672" t="s">
        <v>124</v>
      </c>
      <c r="N437" s="550"/>
      <c r="O437" s="544">
        <v>4641.63</v>
      </c>
      <c r="P437" s="544">
        <v>4641.63</v>
      </c>
      <c r="Q437" s="552">
        <v>4641.63</v>
      </c>
    </row>
    <row r="438" spans="2:28" ht="16.5" thickBot="1" x14ac:dyDescent="0.3">
      <c r="B438" s="1205"/>
      <c r="C438" s="1216"/>
      <c r="D438" s="558"/>
      <c r="E438" s="1208"/>
      <c r="F438" s="1202"/>
      <c r="G438" s="1208"/>
      <c r="H438" s="1208"/>
      <c r="I438" s="1208"/>
      <c r="J438" s="1205"/>
      <c r="K438" s="1208"/>
      <c r="L438" s="1208"/>
      <c r="M438" s="547" t="s">
        <v>745</v>
      </c>
      <c r="N438" s="549"/>
      <c r="O438" s="551">
        <v>0</v>
      </c>
      <c r="P438" s="551">
        <v>0</v>
      </c>
      <c r="Q438" s="552">
        <v>0</v>
      </c>
    </row>
    <row r="439" spans="2:28" ht="16.5" thickBot="1" x14ac:dyDescent="0.3">
      <c r="B439" s="1206" t="s">
        <v>172</v>
      </c>
      <c r="C439" s="1215">
        <v>69212</v>
      </c>
      <c r="D439" s="682"/>
      <c r="E439" s="1207" t="s">
        <v>192</v>
      </c>
      <c r="F439" s="1200" t="s">
        <v>635</v>
      </c>
      <c r="G439" s="1207" t="s">
        <v>187</v>
      </c>
      <c r="H439" s="1207" t="s">
        <v>241</v>
      </c>
      <c r="I439" s="1207" t="s">
        <v>116</v>
      </c>
      <c r="J439" s="1206" t="s">
        <v>528</v>
      </c>
      <c r="K439" s="1207" t="s">
        <v>116</v>
      </c>
      <c r="L439" s="1207" t="s">
        <v>116</v>
      </c>
      <c r="M439" s="672" t="s">
        <v>122</v>
      </c>
      <c r="N439" s="550"/>
      <c r="O439" s="544">
        <f>O440+O441</f>
        <v>100.08</v>
      </c>
      <c r="P439" s="544">
        <f>P440+P441</f>
        <v>562.63</v>
      </c>
      <c r="Q439" s="675">
        <f>Q440+Q441</f>
        <v>993.33</v>
      </c>
    </row>
    <row r="440" spans="2:28" ht="16.5" thickBot="1" x14ac:dyDescent="0.3">
      <c r="B440" s="1204"/>
      <c r="C440" s="1192"/>
      <c r="D440" s="555"/>
      <c r="E440" s="1199"/>
      <c r="F440" s="1201"/>
      <c r="G440" s="1199"/>
      <c r="H440" s="1199"/>
      <c r="I440" s="1199"/>
      <c r="J440" s="1204"/>
      <c r="K440" s="1199"/>
      <c r="L440" s="1199"/>
      <c r="M440" s="636" t="s">
        <v>123</v>
      </c>
      <c r="N440" s="549"/>
      <c r="O440" s="544">
        <v>0</v>
      </c>
      <c r="P440" s="544">
        <v>0</v>
      </c>
      <c r="Q440" s="552">
        <v>0</v>
      </c>
    </row>
    <row r="441" spans="2:28" ht="16.5" thickBot="1" x14ac:dyDescent="0.3">
      <c r="B441" s="1204"/>
      <c r="C441" s="1192"/>
      <c r="D441" s="555"/>
      <c r="E441" s="1199"/>
      <c r="F441" s="1201"/>
      <c r="G441" s="1199"/>
      <c r="H441" s="1199"/>
      <c r="I441" s="1199"/>
      <c r="J441" s="1204"/>
      <c r="K441" s="1199"/>
      <c r="L441" s="1199"/>
      <c r="M441" s="672" t="s">
        <v>124</v>
      </c>
      <c r="N441" s="550"/>
      <c r="O441" s="544">
        <v>100.08</v>
      </c>
      <c r="P441" s="544">
        <v>562.63</v>
      </c>
      <c r="Q441" s="675">
        <v>993.33</v>
      </c>
    </row>
    <row r="442" spans="2:28" ht="16.5" thickBot="1" x14ac:dyDescent="0.3">
      <c r="B442" s="1205"/>
      <c r="C442" s="1216"/>
      <c r="D442" s="558"/>
      <c r="E442" s="1208"/>
      <c r="F442" s="1202"/>
      <c r="G442" s="1208"/>
      <c r="H442" s="1208"/>
      <c r="I442" s="1208"/>
      <c r="J442" s="1205"/>
      <c r="K442" s="1208"/>
      <c r="L442" s="1208"/>
      <c r="M442" s="547" t="s">
        <v>745</v>
      </c>
      <c r="N442" s="549"/>
      <c r="O442" s="551">
        <v>0</v>
      </c>
      <c r="P442" s="551">
        <v>0</v>
      </c>
      <c r="Q442" s="552">
        <v>0</v>
      </c>
    </row>
    <row r="443" spans="2:28" ht="16.5" thickBot="1" x14ac:dyDescent="0.3">
      <c r="B443" s="1206" t="s">
        <v>172</v>
      </c>
      <c r="C443" s="1308" t="s">
        <v>1002</v>
      </c>
      <c r="D443" s="704"/>
      <c r="E443" s="1232" t="s">
        <v>116</v>
      </c>
      <c r="F443" s="1200" t="s">
        <v>1053</v>
      </c>
      <c r="G443" s="1207" t="s">
        <v>116</v>
      </c>
      <c r="H443" s="1232" t="s">
        <v>116</v>
      </c>
      <c r="I443" s="1206" t="s">
        <v>116</v>
      </c>
      <c r="J443" s="1206" t="s">
        <v>528</v>
      </c>
      <c r="K443" s="1232" t="s">
        <v>116</v>
      </c>
      <c r="L443" s="1206" t="s">
        <v>116</v>
      </c>
      <c r="M443" s="542" t="s">
        <v>122</v>
      </c>
      <c r="N443" s="549"/>
      <c r="O443" s="797">
        <f>O444+O445</f>
        <v>8765.5319999999992</v>
      </c>
      <c r="P443" s="552">
        <f>P444+P445</f>
        <v>8765.5319999999992</v>
      </c>
      <c r="Q443" s="552">
        <f>Q444+Q445</f>
        <v>10038.457999999999</v>
      </c>
      <c r="R443" s="51">
        <f>8765532/1000</f>
        <v>8765.5319999999992</v>
      </c>
      <c r="S443" s="51">
        <f>8765532/1000</f>
        <v>8765.5319999999992</v>
      </c>
      <c r="T443" s="51">
        <f>10038460/1000</f>
        <v>10038.459999999999</v>
      </c>
      <c r="V443" s="51">
        <v>8765.5300000000007</v>
      </c>
      <c r="W443" s="51">
        <v>8765.5300000000007</v>
      </c>
      <c r="X443" s="51">
        <v>10038.459999999999</v>
      </c>
      <c r="Z443" s="776">
        <f>V443-O443</f>
        <v>-1.9999999985884642E-3</v>
      </c>
      <c r="AA443" s="776">
        <f>W443-P443</f>
        <v>-1.9999999985884642E-3</v>
      </c>
      <c r="AB443" s="776">
        <f>X443-Q443</f>
        <v>2.0000000004074536E-3</v>
      </c>
    </row>
    <row r="444" spans="2:28" ht="16.5" thickBot="1" x14ac:dyDescent="0.3">
      <c r="B444" s="1204"/>
      <c r="C444" s="1259"/>
      <c r="D444" s="694"/>
      <c r="E444" s="1209"/>
      <c r="F444" s="1201"/>
      <c r="G444" s="1199"/>
      <c r="H444" s="1209"/>
      <c r="I444" s="1204"/>
      <c r="J444" s="1204"/>
      <c r="K444" s="1209"/>
      <c r="L444" s="1204"/>
      <c r="M444" s="636" t="s">
        <v>123</v>
      </c>
      <c r="N444" s="550"/>
      <c r="O444" s="551">
        <f t="shared" ref="O444:Q445" si="7">O448</f>
        <v>4382.7659999999996</v>
      </c>
      <c r="P444" s="551">
        <f t="shared" si="7"/>
        <v>4382.7659999999996</v>
      </c>
      <c r="Q444" s="552">
        <f t="shared" si="7"/>
        <v>5478.4579999999996</v>
      </c>
      <c r="R444" s="51">
        <f>R443-O443</f>
        <v>0</v>
      </c>
      <c r="S444" s="51">
        <f>S443-P443</f>
        <v>0</v>
      </c>
      <c r="T444" s="51">
        <f>T443-Q443</f>
        <v>2.0000000004074536E-3</v>
      </c>
    </row>
    <row r="445" spans="2:28" ht="16.5" thickBot="1" x14ac:dyDescent="0.3">
      <c r="B445" s="1204"/>
      <c r="C445" s="1259"/>
      <c r="D445" s="694"/>
      <c r="E445" s="1209"/>
      <c r="F445" s="1201"/>
      <c r="G445" s="1199"/>
      <c r="H445" s="1209"/>
      <c r="I445" s="1204"/>
      <c r="J445" s="1204"/>
      <c r="K445" s="1209"/>
      <c r="L445" s="1204"/>
      <c r="M445" s="672" t="s">
        <v>124</v>
      </c>
      <c r="N445" s="550"/>
      <c r="O445" s="551">
        <f t="shared" si="7"/>
        <v>4382.7659999999996</v>
      </c>
      <c r="P445" s="551">
        <f t="shared" si="7"/>
        <v>4382.7659999999996</v>
      </c>
      <c r="Q445" s="552">
        <f t="shared" si="7"/>
        <v>4560</v>
      </c>
    </row>
    <row r="446" spans="2:28" ht="16.5" thickBot="1" x14ac:dyDescent="0.3">
      <c r="B446" s="1205"/>
      <c r="C446" s="1260"/>
      <c r="D446" s="704"/>
      <c r="E446" s="1210"/>
      <c r="F446" s="1202"/>
      <c r="G446" s="1208"/>
      <c r="H446" s="1210"/>
      <c r="I446" s="1205"/>
      <c r="J446" s="1205"/>
      <c r="K446" s="1210"/>
      <c r="L446" s="1205"/>
      <c r="M446" s="547" t="s">
        <v>745</v>
      </c>
      <c r="N446" s="563"/>
      <c r="O446" s="681">
        <v>0</v>
      </c>
      <c r="P446" s="676">
        <v>0</v>
      </c>
      <c r="Q446" s="676">
        <v>0</v>
      </c>
    </row>
    <row r="447" spans="2:28" ht="16.5" thickBot="1" x14ac:dyDescent="0.3">
      <c r="B447" s="1206" t="s">
        <v>172</v>
      </c>
      <c r="C447" s="1215" t="s">
        <v>1002</v>
      </c>
      <c r="D447" s="682"/>
      <c r="E447" s="1207" t="s">
        <v>192</v>
      </c>
      <c r="F447" s="1200" t="s">
        <v>635</v>
      </c>
      <c r="G447" s="1207" t="s">
        <v>187</v>
      </c>
      <c r="H447" s="1232" t="s">
        <v>241</v>
      </c>
      <c r="I447" s="1207" t="s">
        <v>116</v>
      </c>
      <c r="J447" s="1206" t="s">
        <v>528</v>
      </c>
      <c r="K447" s="1207" t="s">
        <v>116</v>
      </c>
      <c r="L447" s="1207" t="s">
        <v>116</v>
      </c>
      <c r="M447" s="542" t="s">
        <v>122</v>
      </c>
      <c r="N447" s="543"/>
      <c r="O447" s="544">
        <f>O448+O449</f>
        <v>8765.5319999999992</v>
      </c>
      <c r="P447" s="544">
        <f>P448+P449</f>
        <v>8765.5319999999992</v>
      </c>
      <c r="Q447" s="552">
        <f>Q448+Q449</f>
        <v>10038.457999999999</v>
      </c>
    </row>
    <row r="448" spans="2:28" ht="16.5" thickBot="1" x14ac:dyDescent="0.3">
      <c r="B448" s="1204"/>
      <c r="C448" s="1192"/>
      <c r="D448" s="555"/>
      <c r="E448" s="1199"/>
      <c r="F448" s="1201"/>
      <c r="G448" s="1199"/>
      <c r="H448" s="1209"/>
      <c r="I448" s="1199"/>
      <c r="J448" s="1204"/>
      <c r="K448" s="1199"/>
      <c r="L448" s="1199"/>
      <c r="M448" s="636" t="s">
        <v>123</v>
      </c>
      <c r="N448" s="549"/>
      <c r="O448" s="544">
        <v>4382.7659999999996</v>
      </c>
      <c r="P448" s="544">
        <v>4382.7659999999996</v>
      </c>
      <c r="Q448" s="675">
        <v>5478.4579999999996</v>
      </c>
    </row>
    <row r="449" spans="2:17" ht="16.5" thickBot="1" x14ac:dyDescent="0.3">
      <c r="B449" s="1204"/>
      <c r="C449" s="1192"/>
      <c r="D449" s="555"/>
      <c r="E449" s="1199"/>
      <c r="F449" s="1201"/>
      <c r="G449" s="1199"/>
      <c r="H449" s="1209"/>
      <c r="I449" s="1199"/>
      <c r="J449" s="1204"/>
      <c r="K449" s="1199"/>
      <c r="L449" s="1199"/>
      <c r="M449" s="672" t="s">
        <v>124</v>
      </c>
      <c r="N449" s="550"/>
      <c r="O449" s="544">
        <v>4382.7659999999996</v>
      </c>
      <c r="P449" s="544">
        <v>4382.7659999999996</v>
      </c>
      <c r="Q449" s="675">
        <v>4560</v>
      </c>
    </row>
    <row r="450" spans="2:17" ht="16.5" thickBot="1" x14ac:dyDescent="0.3">
      <c r="B450" s="1204"/>
      <c r="C450" s="1192"/>
      <c r="D450" s="680"/>
      <c r="E450" s="1199"/>
      <c r="F450" s="1201"/>
      <c r="G450" s="1199"/>
      <c r="H450" s="1209"/>
      <c r="I450" s="1199"/>
      <c r="J450" s="1204"/>
      <c r="K450" s="1199"/>
      <c r="L450" s="1199"/>
      <c r="M450" s="547" t="s">
        <v>745</v>
      </c>
      <c r="N450" s="549"/>
      <c r="O450" s="551">
        <v>0</v>
      </c>
      <c r="P450" s="551">
        <v>0</v>
      </c>
      <c r="Q450" s="552">
        <v>0</v>
      </c>
    </row>
    <row r="451" spans="2:17" ht="16.5" thickBot="1" x14ac:dyDescent="0.3">
      <c r="B451" s="1206" t="s">
        <v>172</v>
      </c>
      <c r="C451" s="1308">
        <v>49250</v>
      </c>
      <c r="D451" s="704" t="s">
        <v>116</v>
      </c>
      <c r="E451" s="1232" t="s">
        <v>116</v>
      </c>
      <c r="F451" s="1200" t="s">
        <v>1003</v>
      </c>
      <c r="G451" s="1207" t="s">
        <v>116</v>
      </c>
      <c r="H451" s="1232" t="s">
        <v>116</v>
      </c>
      <c r="I451" s="1206" t="s">
        <v>116</v>
      </c>
      <c r="J451" s="1206" t="s">
        <v>528</v>
      </c>
      <c r="K451" s="1232" t="s">
        <v>116</v>
      </c>
      <c r="L451" s="1206" t="s">
        <v>116</v>
      </c>
      <c r="M451" s="542" t="s">
        <v>122</v>
      </c>
      <c r="N451" s="549"/>
      <c r="O451" s="797">
        <f>O452+O453</f>
        <v>16654.86</v>
      </c>
      <c r="P451" s="552">
        <f>P452+P453</f>
        <v>0</v>
      </c>
      <c r="Q451" s="552">
        <f>Q452+Q453</f>
        <v>0</v>
      </c>
    </row>
    <row r="452" spans="2:17" ht="16.5" thickBot="1" x14ac:dyDescent="0.3">
      <c r="B452" s="1204"/>
      <c r="C452" s="1259"/>
      <c r="D452" s="694"/>
      <c r="E452" s="1209"/>
      <c r="F452" s="1201"/>
      <c r="G452" s="1199"/>
      <c r="H452" s="1209"/>
      <c r="I452" s="1204"/>
      <c r="J452" s="1204"/>
      <c r="K452" s="1209"/>
      <c r="L452" s="1204"/>
      <c r="M452" s="636" t="s">
        <v>123</v>
      </c>
      <c r="N452" s="550"/>
      <c r="O452" s="681">
        <f t="shared" ref="O452:Q454" si="8">O456</f>
        <v>0</v>
      </c>
      <c r="P452" s="552">
        <f t="shared" si="8"/>
        <v>0</v>
      </c>
      <c r="Q452" s="552">
        <f t="shared" si="8"/>
        <v>0</v>
      </c>
    </row>
    <row r="453" spans="2:17" ht="16.5" thickBot="1" x14ac:dyDescent="0.3">
      <c r="B453" s="1204"/>
      <c r="C453" s="1259"/>
      <c r="D453" s="694"/>
      <c r="E453" s="1209"/>
      <c r="F453" s="1201"/>
      <c r="G453" s="1199"/>
      <c r="H453" s="1209"/>
      <c r="I453" s="1204"/>
      <c r="J453" s="1204"/>
      <c r="K453" s="1209"/>
      <c r="L453" s="1204"/>
      <c r="M453" s="672" t="s">
        <v>124</v>
      </c>
      <c r="N453" s="550"/>
      <c r="O453" s="551">
        <f>O457</f>
        <v>16654.86</v>
      </c>
      <c r="P453" s="551">
        <f>P457</f>
        <v>0</v>
      </c>
      <c r="Q453" s="552">
        <f>Q457</f>
        <v>0</v>
      </c>
    </row>
    <row r="454" spans="2:17" ht="16.5" thickBot="1" x14ac:dyDescent="0.3">
      <c r="B454" s="1205"/>
      <c r="C454" s="1260"/>
      <c r="D454" s="704"/>
      <c r="E454" s="1210"/>
      <c r="F454" s="1202"/>
      <c r="G454" s="1208"/>
      <c r="H454" s="1210"/>
      <c r="I454" s="1205"/>
      <c r="J454" s="1205"/>
      <c r="K454" s="1210"/>
      <c r="L454" s="1205"/>
      <c r="M454" s="547" t="s">
        <v>745</v>
      </c>
      <c r="N454" s="563"/>
      <c r="O454" s="681">
        <f t="shared" si="8"/>
        <v>0</v>
      </c>
      <c r="P454" s="676">
        <f t="shared" si="8"/>
        <v>0</v>
      </c>
      <c r="Q454" s="676">
        <f t="shared" si="8"/>
        <v>0</v>
      </c>
    </row>
    <row r="455" spans="2:17" ht="16.5" thickBot="1" x14ac:dyDescent="0.3">
      <c r="B455" s="1240" t="s">
        <v>172</v>
      </c>
      <c r="C455" s="1238">
        <v>49250</v>
      </c>
      <c r="D455" s="555">
        <v>27302165</v>
      </c>
      <c r="E455" s="1236" t="s">
        <v>88</v>
      </c>
      <c r="F455" s="1234" t="s">
        <v>1003</v>
      </c>
      <c r="G455" s="1200" t="s">
        <v>465</v>
      </c>
      <c r="H455" s="1207" t="s">
        <v>240</v>
      </c>
      <c r="I455" s="1207">
        <v>1</v>
      </c>
      <c r="J455" s="1206" t="s">
        <v>528</v>
      </c>
      <c r="K455" s="1236" t="s">
        <v>199</v>
      </c>
      <c r="L455" s="1236" t="s">
        <v>199</v>
      </c>
      <c r="M455" s="542" t="s">
        <v>122</v>
      </c>
      <c r="N455" s="543"/>
      <c r="O455" s="544">
        <f>O456+O457</f>
        <v>16654.86</v>
      </c>
      <c r="P455" s="544">
        <f>P456+P457</f>
        <v>0</v>
      </c>
      <c r="Q455" s="552">
        <f>Q456+Q457</f>
        <v>0</v>
      </c>
    </row>
    <row r="456" spans="2:17" ht="16.5" thickBot="1" x14ac:dyDescent="0.3">
      <c r="B456" s="1204"/>
      <c r="C456" s="1192"/>
      <c r="D456" s="555"/>
      <c r="E456" s="1199"/>
      <c r="F456" s="1201"/>
      <c r="G456" s="1201"/>
      <c r="H456" s="1199"/>
      <c r="I456" s="1199"/>
      <c r="J456" s="1204"/>
      <c r="K456" s="1199"/>
      <c r="L456" s="1199"/>
      <c r="M456" s="636" t="s">
        <v>123</v>
      </c>
      <c r="N456" s="549"/>
      <c r="O456" s="544">
        <v>0</v>
      </c>
      <c r="P456" s="544">
        <v>0</v>
      </c>
      <c r="Q456" s="675">
        <v>0</v>
      </c>
    </row>
    <row r="457" spans="2:17" ht="16.5" thickBot="1" x14ac:dyDescent="0.3">
      <c r="B457" s="1204"/>
      <c r="C457" s="1192"/>
      <c r="D457" s="555"/>
      <c r="E457" s="1199"/>
      <c r="F457" s="1201"/>
      <c r="G457" s="1201"/>
      <c r="H457" s="1199"/>
      <c r="I457" s="1199"/>
      <c r="J457" s="1204"/>
      <c r="K457" s="1199"/>
      <c r="L457" s="1199"/>
      <c r="M457" s="672" t="s">
        <v>124</v>
      </c>
      <c r="N457" s="550"/>
      <c r="O457" s="544">
        <v>16654.86</v>
      </c>
      <c r="P457" s="544">
        <v>0</v>
      </c>
      <c r="Q457" s="675">
        <v>0</v>
      </c>
    </row>
    <row r="458" spans="2:17" ht="16.5" thickBot="1" x14ac:dyDescent="0.3">
      <c r="B458" s="1241"/>
      <c r="C458" s="1239"/>
      <c r="D458" s="555"/>
      <c r="E458" s="1237"/>
      <c r="F458" s="1235"/>
      <c r="G458" s="1202"/>
      <c r="H458" s="1208"/>
      <c r="I458" s="1208"/>
      <c r="J458" s="1241"/>
      <c r="K458" s="1237"/>
      <c r="L458" s="1237"/>
      <c r="M458" s="547" t="s">
        <v>745</v>
      </c>
      <c r="N458" s="549"/>
      <c r="O458" s="551">
        <v>0</v>
      </c>
      <c r="P458" s="551">
        <v>0</v>
      </c>
      <c r="Q458" s="552">
        <v>0</v>
      </c>
    </row>
    <row r="459" spans="2:17" ht="16.5" thickBot="1" x14ac:dyDescent="0.3">
      <c r="B459" s="1206" t="s">
        <v>172</v>
      </c>
      <c r="C459" s="1308">
        <v>49251</v>
      </c>
      <c r="D459" s="704" t="s">
        <v>116</v>
      </c>
      <c r="E459" s="1232" t="s">
        <v>116</v>
      </c>
      <c r="F459" s="1200" t="s">
        <v>1004</v>
      </c>
      <c r="G459" s="1207" t="s">
        <v>116</v>
      </c>
      <c r="H459" s="1232" t="s">
        <v>116</v>
      </c>
      <c r="I459" s="1206" t="s">
        <v>116</v>
      </c>
      <c r="J459" s="1206" t="s">
        <v>528</v>
      </c>
      <c r="K459" s="1232" t="s">
        <v>116</v>
      </c>
      <c r="L459" s="1206" t="s">
        <v>116</v>
      </c>
      <c r="M459" s="542" t="s">
        <v>122</v>
      </c>
      <c r="N459" s="549"/>
      <c r="O459" s="797">
        <f>O460+O461</f>
        <v>6390.96</v>
      </c>
      <c r="P459" s="552">
        <f>P460+P461</f>
        <v>6476.8</v>
      </c>
      <c r="Q459" s="552">
        <f>Q460+Q461</f>
        <v>0</v>
      </c>
    </row>
    <row r="460" spans="2:17" ht="16.5" thickBot="1" x14ac:dyDescent="0.3">
      <c r="B460" s="1204"/>
      <c r="C460" s="1259"/>
      <c r="D460" s="694"/>
      <c r="E460" s="1209"/>
      <c r="F460" s="1201"/>
      <c r="G460" s="1199"/>
      <c r="H460" s="1209"/>
      <c r="I460" s="1204"/>
      <c r="J460" s="1204"/>
      <c r="K460" s="1209"/>
      <c r="L460" s="1204"/>
      <c r="M460" s="636" t="s">
        <v>123</v>
      </c>
      <c r="N460" s="550"/>
      <c r="O460" s="681">
        <f t="shared" ref="O460:Q462" si="9">O464</f>
        <v>0</v>
      </c>
      <c r="P460" s="552">
        <f t="shared" si="9"/>
        <v>0</v>
      </c>
      <c r="Q460" s="552">
        <f t="shared" si="9"/>
        <v>0</v>
      </c>
    </row>
    <row r="461" spans="2:17" ht="16.5" thickBot="1" x14ac:dyDescent="0.3">
      <c r="B461" s="1204"/>
      <c r="C461" s="1259"/>
      <c r="D461" s="694"/>
      <c r="E461" s="1209"/>
      <c r="F461" s="1201"/>
      <c r="G461" s="1199"/>
      <c r="H461" s="1209"/>
      <c r="I461" s="1204"/>
      <c r="J461" s="1204"/>
      <c r="K461" s="1209"/>
      <c r="L461" s="1204"/>
      <c r="M461" s="672" t="s">
        <v>124</v>
      </c>
      <c r="N461" s="550"/>
      <c r="O461" s="551">
        <f t="shared" si="9"/>
        <v>6390.96</v>
      </c>
      <c r="P461" s="551">
        <f t="shared" si="9"/>
        <v>6476.8</v>
      </c>
      <c r="Q461" s="552">
        <f t="shared" si="9"/>
        <v>0</v>
      </c>
    </row>
    <row r="462" spans="2:17" ht="16.5" thickBot="1" x14ac:dyDescent="0.3">
      <c r="B462" s="1205"/>
      <c r="C462" s="1260"/>
      <c r="D462" s="704"/>
      <c r="E462" s="1210"/>
      <c r="F462" s="1202"/>
      <c r="G462" s="1208"/>
      <c r="H462" s="1210"/>
      <c r="I462" s="1205"/>
      <c r="J462" s="1205"/>
      <c r="K462" s="1210"/>
      <c r="L462" s="1205"/>
      <c r="M462" s="547" t="s">
        <v>745</v>
      </c>
      <c r="N462" s="563"/>
      <c r="O462" s="681">
        <f t="shared" si="9"/>
        <v>0</v>
      </c>
      <c r="P462" s="676">
        <f t="shared" si="9"/>
        <v>0</v>
      </c>
      <c r="Q462" s="676">
        <f t="shared" si="9"/>
        <v>0</v>
      </c>
    </row>
    <row r="463" spans="2:17" ht="16.5" thickBot="1" x14ac:dyDescent="0.3">
      <c r="B463" s="1240" t="s">
        <v>172</v>
      </c>
      <c r="C463" s="1238">
        <v>49251</v>
      </c>
      <c r="D463" s="555">
        <v>27302166</v>
      </c>
      <c r="E463" s="1236" t="s">
        <v>422</v>
      </c>
      <c r="F463" s="1234" t="s">
        <v>1004</v>
      </c>
      <c r="G463" s="1200" t="s">
        <v>465</v>
      </c>
      <c r="H463" s="1207" t="s">
        <v>240</v>
      </c>
      <c r="I463" s="1207">
        <v>1</v>
      </c>
      <c r="J463" s="1206" t="s">
        <v>528</v>
      </c>
      <c r="K463" s="1236">
        <v>1</v>
      </c>
      <c r="L463" s="1236" t="s">
        <v>199</v>
      </c>
      <c r="M463" s="542" t="s">
        <v>122</v>
      </c>
      <c r="N463" s="543"/>
      <c r="O463" s="544">
        <f>O464+O465</f>
        <v>6390.96</v>
      </c>
      <c r="P463" s="544">
        <f>P464+P465</f>
        <v>6476.8</v>
      </c>
      <c r="Q463" s="552">
        <f>Q464+Q465</f>
        <v>0</v>
      </c>
    </row>
    <row r="464" spans="2:17" ht="16.5" thickBot="1" x14ac:dyDescent="0.3">
      <c r="B464" s="1204"/>
      <c r="C464" s="1192"/>
      <c r="D464" s="555"/>
      <c r="E464" s="1199"/>
      <c r="F464" s="1201"/>
      <c r="G464" s="1201"/>
      <c r="H464" s="1199"/>
      <c r="I464" s="1199"/>
      <c r="J464" s="1204"/>
      <c r="K464" s="1199"/>
      <c r="L464" s="1199"/>
      <c r="M464" s="636" t="s">
        <v>123</v>
      </c>
      <c r="N464" s="549"/>
      <c r="O464" s="544">
        <v>0</v>
      </c>
      <c r="P464" s="544">
        <v>0</v>
      </c>
      <c r="Q464" s="675">
        <v>0</v>
      </c>
    </row>
    <row r="465" spans="2:20" ht="16.5" thickBot="1" x14ac:dyDescent="0.3">
      <c r="B465" s="1204"/>
      <c r="C465" s="1192"/>
      <c r="D465" s="555"/>
      <c r="E465" s="1199"/>
      <c r="F465" s="1201"/>
      <c r="G465" s="1201"/>
      <c r="H465" s="1199"/>
      <c r="I465" s="1199"/>
      <c r="J465" s="1204"/>
      <c r="K465" s="1199"/>
      <c r="L465" s="1199"/>
      <c r="M465" s="672" t="s">
        <v>124</v>
      </c>
      <c r="N465" s="550"/>
      <c r="O465" s="544">
        <v>6390.96</v>
      </c>
      <c r="P465" s="544">
        <v>6476.8</v>
      </c>
      <c r="Q465" s="675">
        <v>0</v>
      </c>
    </row>
    <row r="466" spans="2:20" ht="16.5" thickBot="1" x14ac:dyDescent="0.3">
      <c r="B466" s="1241"/>
      <c r="C466" s="1239"/>
      <c r="D466" s="555"/>
      <c r="E466" s="1237"/>
      <c r="F466" s="1235"/>
      <c r="G466" s="1202"/>
      <c r="H466" s="1208"/>
      <c r="I466" s="1208"/>
      <c r="J466" s="1241"/>
      <c r="K466" s="1237"/>
      <c r="L466" s="1237"/>
      <c r="M466" s="547" t="s">
        <v>745</v>
      </c>
      <c r="N466" s="549"/>
      <c r="O466" s="551">
        <v>0</v>
      </c>
      <c r="P466" s="551">
        <v>0</v>
      </c>
      <c r="Q466" s="552">
        <v>0</v>
      </c>
    </row>
    <row r="467" spans="2:20" ht="16.5" thickBot="1" x14ac:dyDescent="0.3">
      <c r="B467" s="1206" t="s">
        <v>172</v>
      </c>
      <c r="C467" s="1308">
        <v>69221</v>
      </c>
      <c r="D467" s="704" t="s">
        <v>116</v>
      </c>
      <c r="E467" s="1232" t="s">
        <v>116</v>
      </c>
      <c r="F467" s="1200" t="s">
        <v>1054</v>
      </c>
      <c r="G467" s="1207" t="s">
        <v>116</v>
      </c>
      <c r="H467" s="1232" t="s">
        <v>116</v>
      </c>
      <c r="I467" s="1206" t="s">
        <v>116</v>
      </c>
      <c r="J467" s="1206" t="s">
        <v>528</v>
      </c>
      <c r="K467" s="1232" t="s">
        <v>116</v>
      </c>
      <c r="L467" s="1206" t="s">
        <v>116</v>
      </c>
      <c r="M467" s="542" t="s">
        <v>122</v>
      </c>
      <c r="N467" s="549"/>
      <c r="O467" s="797">
        <f>O468+O469</f>
        <v>16301.95</v>
      </c>
      <c r="P467" s="552">
        <f>P468+P469</f>
        <v>8237.6139999999996</v>
      </c>
      <c r="Q467" s="552">
        <f>Q468+Q469</f>
        <v>1392.6100000000001</v>
      </c>
      <c r="R467" s="51">
        <f>16301950/1000</f>
        <v>16301.95</v>
      </c>
      <c r="S467" s="51">
        <f>8237614/1000</f>
        <v>8237.6139999999996</v>
      </c>
      <c r="T467" s="51">
        <f>1392614/1000</f>
        <v>1392.614</v>
      </c>
    </row>
    <row r="468" spans="2:20" ht="16.5" thickBot="1" x14ac:dyDescent="0.3">
      <c r="B468" s="1204"/>
      <c r="C468" s="1259"/>
      <c r="D468" s="694"/>
      <c r="E468" s="1209"/>
      <c r="F468" s="1201"/>
      <c r="G468" s="1199"/>
      <c r="H468" s="1209"/>
      <c r="I468" s="1204"/>
      <c r="J468" s="1204"/>
      <c r="K468" s="1209"/>
      <c r="L468" s="1204"/>
      <c r="M468" s="636" t="s">
        <v>123</v>
      </c>
      <c r="N468" s="550"/>
      <c r="O468" s="681">
        <v>0</v>
      </c>
      <c r="P468" s="552">
        <v>0</v>
      </c>
      <c r="Q468" s="552">
        <v>0</v>
      </c>
      <c r="R468" s="51">
        <f>R467-O467</f>
        <v>0</v>
      </c>
      <c r="S468" s="51">
        <f>S467-P467</f>
        <v>0</v>
      </c>
      <c r="T468" s="51">
        <f>T467-Q467</f>
        <v>3.9999999999054126E-3</v>
      </c>
    </row>
    <row r="469" spans="2:20" ht="16.5" thickBot="1" x14ac:dyDescent="0.3">
      <c r="B469" s="1204"/>
      <c r="C469" s="1259"/>
      <c r="D469" s="694"/>
      <c r="E469" s="1209"/>
      <c r="F469" s="1201"/>
      <c r="G469" s="1199"/>
      <c r="H469" s="1209"/>
      <c r="I469" s="1204"/>
      <c r="J469" s="1204"/>
      <c r="K469" s="1209"/>
      <c r="L469" s="1204"/>
      <c r="M469" s="672" t="s">
        <v>124</v>
      </c>
      <c r="N469" s="550"/>
      <c r="O469" s="551">
        <f>O473+O477+O481+O485+O489+O493+O497+O501+O505+O509+O513+O517+O521+O525+O529+O533+O537+O541+O545+O549</f>
        <v>16301.95</v>
      </c>
      <c r="P469" s="551">
        <f>P473+P477+P481+P485+P489+P493+P497+P501+P505+P509+P513+P517+P521+P525+P529+P533+P537+P541+P545+P549</f>
        <v>8237.6139999999996</v>
      </c>
      <c r="Q469" s="552">
        <f>Q473+Q477+Q481+Q485+Q489+Q493+Q497+Q501+Q505+Q509+Q513+Q517+Q521+Q525+Q529+Q533+Q537+Q541+Q545+Q549</f>
        <v>1392.6100000000001</v>
      </c>
    </row>
    <row r="470" spans="2:20" ht="16.5" thickBot="1" x14ac:dyDescent="0.3">
      <c r="B470" s="1205"/>
      <c r="C470" s="1260"/>
      <c r="D470" s="704"/>
      <c r="E470" s="1210"/>
      <c r="F470" s="1202"/>
      <c r="G470" s="1208"/>
      <c r="H470" s="1210"/>
      <c r="I470" s="1205"/>
      <c r="J470" s="1205"/>
      <c r="K470" s="1210"/>
      <c r="L470" s="1205"/>
      <c r="M470" s="547" t="s">
        <v>745</v>
      </c>
      <c r="N470" s="563"/>
      <c r="O470" s="681">
        <v>0</v>
      </c>
      <c r="P470" s="676">
        <v>0</v>
      </c>
      <c r="Q470" s="676">
        <v>0</v>
      </c>
    </row>
    <row r="471" spans="2:20" ht="16.5" thickBot="1" x14ac:dyDescent="0.3">
      <c r="B471" s="1206" t="s">
        <v>172</v>
      </c>
      <c r="C471" s="1215">
        <v>69221</v>
      </c>
      <c r="D471" s="654" t="s">
        <v>450</v>
      </c>
      <c r="E471" s="1207" t="s">
        <v>449</v>
      </c>
      <c r="F471" s="1200" t="s">
        <v>1005</v>
      </c>
      <c r="G471" s="1200" t="s">
        <v>190</v>
      </c>
      <c r="H471" s="1207" t="s">
        <v>240</v>
      </c>
      <c r="I471" s="1207">
        <v>1</v>
      </c>
      <c r="J471" s="1206" t="s">
        <v>528</v>
      </c>
      <c r="K471" s="1207" t="s">
        <v>199</v>
      </c>
      <c r="L471" s="1207" t="s">
        <v>199</v>
      </c>
      <c r="M471" s="542" t="s">
        <v>122</v>
      </c>
      <c r="N471" s="543"/>
      <c r="O471" s="544">
        <f>O472+O473</f>
        <v>4200</v>
      </c>
      <c r="P471" s="544">
        <f>P472+P473</f>
        <v>0</v>
      </c>
      <c r="Q471" s="675">
        <f>Q472+Q473</f>
        <v>0</v>
      </c>
    </row>
    <row r="472" spans="2:20" ht="16.5" thickBot="1" x14ac:dyDescent="0.3">
      <c r="B472" s="1204"/>
      <c r="C472" s="1192"/>
      <c r="D472" s="555"/>
      <c r="E472" s="1199"/>
      <c r="F472" s="1201"/>
      <c r="G472" s="1201"/>
      <c r="H472" s="1199"/>
      <c r="I472" s="1199"/>
      <c r="J472" s="1204"/>
      <c r="K472" s="1199"/>
      <c r="L472" s="1199"/>
      <c r="M472" s="636" t="s">
        <v>123</v>
      </c>
      <c r="N472" s="549"/>
      <c r="O472" s="544">
        <v>0</v>
      </c>
      <c r="P472" s="544">
        <v>0</v>
      </c>
      <c r="Q472" s="675">
        <v>0</v>
      </c>
    </row>
    <row r="473" spans="2:20" ht="16.5" thickBot="1" x14ac:dyDescent="0.3">
      <c r="B473" s="1204"/>
      <c r="C473" s="1192"/>
      <c r="D473" s="555"/>
      <c r="E473" s="1199"/>
      <c r="F473" s="1201"/>
      <c r="G473" s="1201"/>
      <c r="H473" s="1199"/>
      <c r="I473" s="1199"/>
      <c r="J473" s="1204"/>
      <c r="K473" s="1199"/>
      <c r="L473" s="1199"/>
      <c r="M473" s="672" t="s">
        <v>124</v>
      </c>
      <c r="N473" s="550"/>
      <c r="O473" s="544">
        <v>4200</v>
      </c>
      <c r="P473" s="544">
        <v>0</v>
      </c>
      <c r="Q473" s="675">
        <v>0</v>
      </c>
    </row>
    <row r="474" spans="2:20" ht="16.5" thickBot="1" x14ac:dyDescent="0.3">
      <c r="B474" s="1205"/>
      <c r="C474" s="1216"/>
      <c r="D474" s="558"/>
      <c r="E474" s="1208"/>
      <c r="F474" s="1202"/>
      <c r="G474" s="1202"/>
      <c r="H474" s="1208"/>
      <c r="I474" s="1208"/>
      <c r="J474" s="1205"/>
      <c r="K474" s="1208"/>
      <c r="L474" s="1208"/>
      <c r="M474" s="547" t="s">
        <v>745</v>
      </c>
      <c r="N474" s="549"/>
      <c r="O474" s="551">
        <v>0</v>
      </c>
      <c r="P474" s="551">
        <v>0</v>
      </c>
      <c r="Q474" s="552">
        <v>0</v>
      </c>
    </row>
    <row r="475" spans="2:20" ht="16.5" thickBot="1" x14ac:dyDescent="0.3">
      <c r="B475" s="1204" t="s">
        <v>172</v>
      </c>
      <c r="C475" s="1192">
        <v>69221</v>
      </c>
      <c r="D475" s="682" t="s">
        <v>938</v>
      </c>
      <c r="E475" s="1199" t="s">
        <v>408</v>
      </c>
      <c r="F475" s="1201" t="s">
        <v>1006</v>
      </c>
      <c r="G475" s="1201" t="s">
        <v>1007</v>
      </c>
      <c r="H475" s="1199" t="s">
        <v>240</v>
      </c>
      <c r="I475" s="1199">
        <v>1</v>
      </c>
      <c r="J475" s="1204" t="s">
        <v>528</v>
      </c>
      <c r="K475" s="1199" t="s">
        <v>199</v>
      </c>
      <c r="L475" s="1199" t="s">
        <v>199</v>
      </c>
      <c r="M475" s="672" t="s">
        <v>122</v>
      </c>
      <c r="N475" s="550"/>
      <c r="O475" s="561">
        <f>O476+O477</f>
        <v>1000</v>
      </c>
      <c r="P475" s="561">
        <f>P476+P477</f>
        <v>0</v>
      </c>
      <c r="Q475" s="562">
        <f>Q476+Q477</f>
        <v>0</v>
      </c>
    </row>
    <row r="476" spans="2:20" ht="16.5" thickBot="1" x14ac:dyDescent="0.3">
      <c r="B476" s="1204"/>
      <c r="C476" s="1192"/>
      <c r="D476" s="555"/>
      <c r="E476" s="1199"/>
      <c r="F476" s="1201"/>
      <c r="G476" s="1201"/>
      <c r="H476" s="1199"/>
      <c r="I476" s="1199"/>
      <c r="J476" s="1204"/>
      <c r="K476" s="1199"/>
      <c r="L476" s="1199"/>
      <c r="M476" s="636" t="s">
        <v>123</v>
      </c>
      <c r="N476" s="549"/>
      <c r="O476" s="544">
        <v>0</v>
      </c>
      <c r="P476" s="544">
        <v>0</v>
      </c>
      <c r="Q476" s="675">
        <v>0</v>
      </c>
    </row>
    <row r="477" spans="2:20" ht="16.5" thickBot="1" x14ac:dyDescent="0.3">
      <c r="B477" s="1204"/>
      <c r="C477" s="1192"/>
      <c r="D477" s="555"/>
      <c r="E477" s="1199"/>
      <c r="F477" s="1201"/>
      <c r="G477" s="1201"/>
      <c r="H477" s="1199"/>
      <c r="I477" s="1199"/>
      <c r="J477" s="1204"/>
      <c r="K477" s="1199"/>
      <c r="L477" s="1199"/>
      <c r="M477" s="672" t="s">
        <v>124</v>
      </c>
      <c r="N477" s="550"/>
      <c r="O477" s="544">
        <v>1000</v>
      </c>
      <c r="P477" s="544">
        <v>0</v>
      </c>
      <c r="Q477" s="675">
        <v>0</v>
      </c>
    </row>
    <row r="478" spans="2:20" ht="16.5" thickBot="1" x14ac:dyDescent="0.3">
      <c r="B478" s="1204"/>
      <c r="C478" s="1192"/>
      <c r="D478" s="680"/>
      <c r="E478" s="1199"/>
      <c r="F478" s="1201"/>
      <c r="G478" s="1201"/>
      <c r="H478" s="1199"/>
      <c r="I478" s="1199"/>
      <c r="J478" s="1204"/>
      <c r="K478" s="1199"/>
      <c r="L478" s="1199"/>
      <c r="M478" s="671" t="s">
        <v>745</v>
      </c>
      <c r="N478" s="543"/>
      <c r="O478" s="544">
        <v>0</v>
      </c>
      <c r="P478" s="544">
        <v>0</v>
      </c>
      <c r="Q478" s="675">
        <v>0</v>
      </c>
    </row>
    <row r="479" spans="2:20" ht="16.5" thickBot="1" x14ac:dyDescent="0.3">
      <c r="B479" s="1206" t="s">
        <v>172</v>
      </c>
      <c r="C479" s="1215">
        <v>69221</v>
      </c>
      <c r="D479" s="654">
        <v>27302143</v>
      </c>
      <c r="E479" s="1207" t="s">
        <v>452</v>
      </c>
      <c r="F479" s="1200" t="s">
        <v>929</v>
      </c>
      <c r="G479" s="1200" t="s">
        <v>190</v>
      </c>
      <c r="H479" s="1207" t="s">
        <v>240</v>
      </c>
      <c r="I479" s="1207">
        <v>1</v>
      </c>
      <c r="J479" s="1206" t="s">
        <v>528</v>
      </c>
      <c r="K479" s="1207">
        <v>1</v>
      </c>
      <c r="L479" s="1207">
        <v>1</v>
      </c>
      <c r="M479" s="542" t="s">
        <v>122</v>
      </c>
      <c r="N479" s="543"/>
      <c r="O479" s="544">
        <f>O480+O481+O482</f>
        <v>60</v>
      </c>
      <c r="P479" s="544">
        <f>P480+P481+P482</f>
        <v>60</v>
      </c>
      <c r="Q479" s="675">
        <f>Q480+Q481+Q482</f>
        <v>60</v>
      </c>
    </row>
    <row r="480" spans="2:20" ht="16.5" thickBot="1" x14ac:dyDescent="0.3">
      <c r="B480" s="1204"/>
      <c r="C480" s="1192"/>
      <c r="D480" s="555"/>
      <c r="E480" s="1199"/>
      <c r="F480" s="1201"/>
      <c r="G480" s="1201"/>
      <c r="H480" s="1199"/>
      <c r="I480" s="1199"/>
      <c r="J480" s="1204"/>
      <c r="K480" s="1199"/>
      <c r="L480" s="1199"/>
      <c r="M480" s="636" t="s">
        <v>123</v>
      </c>
      <c r="N480" s="549"/>
      <c r="O480" s="544">
        <v>0</v>
      </c>
      <c r="P480" s="544">
        <v>0</v>
      </c>
      <c r="Q480" s="675">
        <v>0</v>
      </c>
    </row>
    <row r="481" spans="2:17" ht="16.5" thickBot="1" x14ac:dyDescent="0.3">
      <c r="B481" s="1204"/>
      <c r="C481" s="1192"/>
      <c r="D481" s="555"/>
      <c r="E481" s="1199"/>
      <c r="F481" s="1201"/>
      <c r="G481" s="1201"/>
      <c r="H481" s="1199"/>
      <c r="I481" s="1199"/>
      <c r="J481" s="1204"/>
      <c r="K481" s="1199"/>
      <c r="L481" s="1199"/>
      <c r="M481" s="672" t="s">
        <v>124</v>
      </c>
      <c r="N481" s="550"/>
      <c r="O481" s="544">
        <v>60</v>
      </c>
      <c r="P481" s="544">
        <v>60</v>
      </c>
      <c r="Q481" s="675">
        <v>60</v>
      </c>
    </row>
    <row r="482" spans="2:17" ht="16.5" thickBot="1" x14ac:dyDescent="0.3">
      <c r="B482" s="1205"/>
      <c r="C482" s="1216"/>
      <c r="D482" s="558"/>
      <c r="E482" s="1208"/>
      <c r="F482" s="1202"/>
      <c r="G482" s="1202"/>
      <c r="H482" s="1208"/>
      <c r="I482" s="1208"/>
      <c r="J482" s="1205"/>
      <c r="K482" s="1208"/>
      <c r="L482" s="1208"/>
      <c r="M482" s="547" t="s">
        <v>745</v>
      </c>
      <c r="N482" s="549"/>
      <c r="O482" s="551">
        <v>0</v>
      </c>
      <c r="P482" s="551">
        <v>0</v>
      </c>
      <c r="Q482" s="552">
        <v>0</v>
      </c>
    </row>
    <row r="483" spans="2:17" ht="16.5" thickBot="1" x14ac:dyDescent="0.3">
      <c r="B483" s="1206" t="s">
        <v>172</v>
      </c>
      <c r="C483" s="1215">
        <v>69221</v>
      </c>
      <c r="D483" s="654" t="s">
        <v>533</v>
      </c>
      <c r="E483" s="1207" t="s">
        <v>452</v>
      </c>
      <c r="F483" s="1200" t="s">
        <v>1008</v>
      </c>
      <c r="G483" s="1200" t="s">
        <v>190</v>
      </c>
      <c r="H483" s="1207" t="s">
        <v>240</v>
      </c>
      <c r="I483" s="1207">
        <v>1</v>
      </c>
      <c r="J483" s="1206" t="s">
        <v>528</v>
      </c>
      <c r="K483" s="1207" t="s">
        <v>199</v>
      </c>
      <c r="L483" s="1207" t="s">
        <v>199</v>
      </c>
      <c r="M483" s="542" t="s">
        <v>122</v>
      </c>
      <c r="N483" s="543"/>
      <c r="O483" s="544">
        <f>O484+O485</f>
        <v>600</v>
      </c>
      <c r="P483" s="544">
        <f>P484+P485</f>
        <v>0</v>
      </c>
      <c r="Q483" s="675">
        <f>Q484+Q485</f>
        <v>0</v>
      </c>
    </row>
    <row r="484" spans="2:17" ht="16.5" thickBot="1" x14ac:dyDescent="0.3">
      <c r="B484" s="1204"/>
      <c r="C484" s="1192"/>
      <c r="D484" s="555"/>
      <c r="E484" s="1199"/>
      <c r="F484" s="1201"/>
      <c r="G484" s="1201"/>
      <c r="H484" s="1199"/>
      <c r="I484" s="1199"/>
      <c r="J484" s="1204"/>
      <c r="K484" s="1199"/>
      <c r="L484" s="1199"/>
      <c r="M484" s="636" t="s">
        <v>123</v>
      </c>
      <c r="N484" s="549"/>
      <c r="O484" s="551">
        <v>0</v>
      </c>
      <c r="P484" s="551">
        <v>0</v>
      </c>
      <c r="Q484" s="552">
        <v>0</v>
      </c>
    </row>
    <row r="485" spans="2:17" ht="16.5" thickBot="1" x14ac:dyDescent="0.3">
      <c r="B485" s="1204"/>
      <c r="C485" s="1192"/>
      <c r="D485" s="555"/>
      <c r="E485" s="1199"/>
      <c r="F485" s="1201"/>
      <c r="G485" s="1201"/>
      <c r="H485" s="1199"/>
      <c r="I485" s="1199"/>
      <c r="J485" s="1204"/>
      <c r="K485" s="1199"/>
      <c r="L485" s="1199"/>
      <c r="M485" s="672" t="s">
        <v>124</v>
      </c>
      <c r="N485" s="550"/>
      <c r="O485" s="544">
        <v>600</v>
      </c>
      <c r="P485" s="544">
        <v>0</v>
      </c>
      <c r="Q485" s="675">
        <v>0</v>
      </c>
    </row>
    <row r="486" spans="2:17" ht="16.5" thickBot="1" x14ac:dyDescent="0.3">
      <c r="B486" s="1205"/>
      <c r="C486" s="1216"/>
      <c r="D486" s="558"/>
      <c r="E486" s="1208"/>
      <c r="F486" s="1202"/>
      <c r="G486" s="1202"/>
      <c r="H486" s="1208"/>
      <c r="I486" s="1208"/>
      <c r="J486" s="1205"/>
      <c r="K486" s="1208"/>
      <c r="L486" s="1208"/>
      <c r="M486" s="547" t="s">
        <v>745</v>
      </c>
      <c r="N486" s="549"/>
      <c r="O486" s="551">
        <v>0</v>
      </c>
      <c r="P486" s="551">
        <v>0</v>
      </c>
      <c r="Q486" s="552">
        <v>0</v>
      </c>
    </row>
    <row r="487" spans="2:17" ht="26.25" customHeight="1" thickBot="1" x14ac:dyDescent="0.3">
      <c r="B487" s="1206" t="s">
        <v>172</v>
      </c>
      <c r="C487" s="1215">
        <v>69221</v>
      </c>
      <c r="D487" s="654" t="s">
        <v>533</v>
      </c>
      <c r="E487" s="1207" t="s">
        <v>452</v>
      </c>
      <c r="F487" s="1200" t="s">
        <v>1047</v>
      </c>
      <c r="G487" s="1200" t="s">
        <v>190</v>
      </c>
      <c r="H487" s="1207" t="s">
        <v>240</v>
      </c>
      <c r="I487" s="1207">
        <v>1</v>
      </c>
      <c r="J487" s="1206" t="s">
        <v>528</v>
      </c>
      <c r="K487" s="1207" t="s">
        <v>199</v>
      </c>
      <c r="L487" s="1207" t="s">
        <v>199</v>
      </c>
      <c r="M487" s="542" t="s">
        <v>122</v>
      </c>
      <c r="N487" s="543"/>
      <c r="O487" s="544">
        <f>O488+O489</f>
        <v>1600</v>
      </c>
      <c r="P487" s="544">
        <f>P488+P489</f>
        <v>0</v>
      </c>
      <c r="Q487" s="675">
        <f>Q488+Q489</f>
        <v>0</v>
      </c>
    </row>
    <row r="488" spans="2:17" ht="26.25" customHeight="1" thickBot="1" x14ac:dyDescent="0.3">
      <c r="B488" s="1204"/>
      <c r="C488" s="1192"/>
      <c r="D488" s="555"/>
      <c r="E488" s="1199"/>
      <c r="F488" s="1201"/>
      <c r="G488" s="1201"/>
      <c r="H488" s="1199"/>
      <c r="I488" s="1199"/>
      <c r="J488" s="1204"/>
      <c r="K488" s="1199"/>
      <c r="L488" s="1199"/>
      <c r="M488" s="636" t="s">
        <v>123</v>
      </c>
      <c r="N488" s="549"/>
      <c r="O488" s="551">
        <v>0</v>
      </c>
      <c r="P488" s="551">
        <v>0</v>
      </c>
      <c r="Q488" s="552">
        <v>0</v>
      </c>
    </row>
    <row r="489" spans="2:17" ht="24.75" customHeight="1" thickBot="1" x14ac:dyDescent="0.3">
      <c r="B489" s="1204"/>
      <c r="C489" s="1192"/>
      <c r="D489" s="555"/>
      <c r="E489" s="1199"/>
      <c r="F489" s="1201"/>
      <c r="G489" s="1201"/>
      <c r="H489" s="1199"/>
      <c r="I489" s="1199"/>
      <c r="J489" s="1204"/>
      <c r="K489" s="1199"/>
      <c r="L489" s="1199"/>
      <c r="M489" s="672" t="s">
        <v>124</v>
      </c>
      <c r="N489" s="550"/>
      <c r="O489" s="544">
        <v>1600</v>
      </c>
      <c r="P489" s="544">
        <v>0</v>
      </c>
      <c r="Q489" s="675">
        <v>0</v>
      </c>
    </row>
    <row r="490" spans="2:17" ht="20.25" customHeight="1" thickBot="1" x14ac:dyDescent="0.3">
      <c r="B490" s="1205"/>
      <c r="C490" s="1216"/>
      <c r="D490" s="558"/>
      <c r="E490" s="1208"/>
      <c r="F490" s="1202"/>
      <c r="G490" s="1202"/>
      <c r="H490" s="1208"/>
      <c r="I490" s="1208"/>
      <c r="J490" s="1205"/>
      <c r="K490" s="1208"/>
      <c r="L490" s="1208"/>
      <c r="M490" s="547" t="s">
        <v>745</v>
      </c>
      <c r="N490" s="549"/>
      <c r="O490" s="551">
        <v>0</v>
      </c>
      <c r="P490" s="551">
        <v>0</v>
      </c>
      <c r="Q490" s="552">
        <v>0</v>
      </c>
    </row>
    <row r="491" spans="2:17" ht="16.5" thickBot="1" x14ac:dyDescent="0.3">
      <c r="B491" s="1206" t="s">
        <v>172</v>
      </c>
      <c r="C491" s="1215">
        <v>69221</v>
      </c>
      <c r="D491" s="682" t="s">
        <v>533</v>
      </c>
      <c r="E491" s="1199" t="s">
        <v>419</v>
      </c>
      <c r="F491" s="1201" t="s">
        <v>1009</v>
      </c>
      <c r="G491" s="1200" t="s">
        <v>190</v>
      </c>
      <c r="H491" s="1207" t="s">
        <v>240</v>
      </c>
      <c r="I491" s="1207">
        <v>1</v>
      </c>
      <c r="J491" s="1206" t="s">
        <v>528</v>
      </c>
      <c r="K491" s="1199" t="s">
        <v>199</v>
      </c>
      <c r="L491" s="1199" t="s">
        <v>199</v>
      </c>
      <c r="M491" s="672" t="s">
        <v>122</v>
      </c>
      <c r="N491" s="550"/>
      <c r="O491" s="561">
        <f>O492+O493</f>
        <v>5539</v>
      </c>
      <c r="P491" s="561">
        <f>P492+P493</f>
        <v>0</v>
      </c>
      <c r="Q491" s="562">
        <f>Q492+Q493</f>
        <v>0</v>
      </c>
    </row>
    <row r="492" spans="2:17" ht="16.5" thickBot="1" x14ac:dyDescent="0.3">
      <c r="B492" s="1204"/>
      <c r="C492" s="1192"/>
      <c r="D492" s="555"/>
      <c r="E492" s="1199"/>
      <c r="F492" s="1201"/>
      <c r="G492" s="1201"/>
      <c r="H492" s="1199"/>
      <c r="I492" s="1199"/>
      <c r="J492" s="1204"/>
      <c r="K492" s="1199"/>
      <c r="L492" s="1199"/>
      <c r="M492" s="636" t="s">
        <v>123</v>
      </c>
      <c r="N492" s="549"/>
      <c r="O492" s="551">
        <v>0</v>
      </c>
      <c r="P492" s="551">
        <v>0</v>
      </c>
      <c r="Q492" s="552">
        <v>0</v>
      </c>
    </row>
    <row r="493" spans="2:17" ht="16.5" thickBot="1" x14ac:dyDescent="0.3">
      <c r="B493" s="1204"/>
      <c r="C493" s="1192"/>
      <c r="D493" s="555"/>
      <c r="E493" s="1199"/>
      <c r="F493" s="1201"/>
      <c r="G493" s="1201"/>
      <c r="H493" s="1199"/>
      <c r="I493" s="1199"/>
      <c r="J493" s="1204"/>
      <c r="K493" s="1199"/>
      <c r="L493" s="1199"/>
      <c r="M493" s="672" t="s">
        <v>124</v>
      </c>
      <c r="N493" s="550"/>
      <c r="O493" s="544">
        <v>5539</v>
      </c>
      <c r="P493" s="544">
        <v>0</v>
      </c>
      <c r="Q493" s="675">
        <v>0</v>
      </c>
    </row>
    <row r="494" spans="2:17" ht="16.5" thickBot="1" x14ac:dyDescent="0.3">
      <c r="B494" s="1205"/>
      <c r="C494" s="1216"/>
      <c r="D494" s="680"/>
      <c r="E494" s="1199"/>
      <c r="F494" s="1201"/>
      <c r="G494" s="1202"/>
      <c r="H494" s="1208"/>
      <c r="I494" s="1208"/>
      <c r="J494" s="1205"/>
      <c r="K494" s="1199"/>
      <c r="L494" s="1199"/>
      <c r="M494" s="671" t="s">
        <v>745</v>
      </c>
      <c r="N494" s="543"/>
      <c r="O494" s="544">
        <v>0</v>
      </c>
      <c r="P494" s="544">
        <v>0</v>
      </c>
      <c r="Q494" s="675">
        <v>0</v>
      </c>
    </row>
    <row r="495" spans="2:17" ht="16.5" thickBot="1" x14ac:dyDescent="0.3">
      <c r="B495" s="1206" t="s">
        <v>172</v>
      </c>
      <c r="C495" s="1215">
        <v>69221</v>
      </c>
      <c r="D495" s="654" t="s">
        <v>533</v>
      </c>
      <c r="E495" s="1207" t="s">
        <v>939</v>
      </c>
      <c r="F495" s="1200" t="s">
        <v>1010</v>
      </c>
      <c r="G495" s="1200" t="s">
        <v>190</v>
      </c>
      <c r="H495" s="1207" t="s">
        <v>240</v>
      </c>
      <c r="I495" s="1207">
        <v>1</v>
      </c>
      <c r="J495" s="1206" t="s">
        <v>528</v>
      </c>
      <c r="K495" s="1207" t="s">
        <v>199</v>
      </c>
      <c r="L495" s="1207" t="s">
        <v>199</v>
      </c>
      <c r="M495" s="542" t="s">
        <v>122</v>
      </c>
      <c r="N495" s="543"/>
      <c r="O495" s="544">
        <f>O496+O497</f>
        <v>1560</v>
      </c>
      <c r="P495" s="544">
        <f>P496+P497</f>
        <v>0</v>
      </c>
      <c r="Q495" s="675">
        <f>Q496+Q497</f>
        <v>0</v>
      </c>
    </row>
    <row r="496" spans="2:17" ht="16.5" thickBot="1" x14ac:dyDescent="0.3">
      <c r="B496" s="1204"/>
      <c r="C496" s="1192"/>
      <c r="D496" s="555"/>
      <c r="E496" s="1199"/>
      <c r="F496" s="1201"/>
      <c r="G496" s="1201"/>
      <c r="H496" s="1199"/>
      <c r="I496" s="1199"/>
      <c r="J496" s="1204"/>
      <c r="K496" s="1199"/>
      <c r="L496" s="1199"/>
      <c r="M496" s="636" t="s">
        <v>123</v>
      </c>
      <c r="N496" s="549"/>
      <c r="O496" s="551">
        <v>0</v>
      </c>
      <c r="P496" s="551">
        <v>0</v>
      </c>
      <c r="Q496" s="552">
        <v>0</v>
      </c>
    </row>
    <row r="497" spans="2:17" ht="16.5" thickBot="1" x14ac:dyDescent="0.3">
      <c r="B497" s="1204"/>
      <c r="C497" s="1192"/>
      <c r="D497" s="555"/>
      <c r="E497" s="1199"/>
      <c r="F497" s="1201"/>
      <c r="G497" s="1201"/>
      <c r="H497" s="1199"/>
      <c r="I497" s="1199"/>
      <c r="J497" s="1204"/>
      <c r="K497" s="1199"/>
      <c r="L497" s="1199"/>
      <c r="M497" s="672" t="s">
        <v>124</v>
      </c>
      <c r="N497" s="550"/>
      <c r="O497" s="544">
        <v>1560</v>
      </c>
      <c r="P497" s="544">
        <v>0</v>
      </c>
      <c r="Q497" s="675">
        <v>0</v>
      </c>
    </row>
    <row r="498" spans="2:17" ht="16.5" thickBot="1" x14ac:dyDescent="0.3">
      <c r="B498" s="1205"/>
      <c r="C498" s="1216"/>
      <c r="D498" s="558"/>
      <c r="E498" s="1208"/>
      <c r="F498" s="1202"/>
      <c r="G498" s="1202"/>
      <c r="H498" s="1208"/>
      <c r="I498" s="1208"/>
      <c r="J498" s="1205"/>
      <c r="K498" s="1208"/>
      <c r="L498" s="1208"/>
      <c r="M498" s="547" t="s">
        <v>745</v>
      </c>
      <c r="N498" s="549"/>
      <c r="O498" s="551">
        <v>0</v>
      </c>
      <c r="P498" s="551">
        <v>0</v>
      </c>
      <c r="Q498" s="552">
        <v>0</v>
      </c>
    </row>
    <row r="499" spans="2:17" ht="16.5" thickBot="1" x14ac:dyDescent="0.3">
      <c r="B499" s="1206" t="s">
        <v>172</v>
      </c>
      <c r="C499" s="1215">
        <v>69221</v>
      </c>
      <c r="D499" s="654" t="s">
        <v>914</v>
      </c>
      <c r="E499" s="1207" t="s">
        <v>422</v>
      </c>
      <c r="F499" s="1200" t="s">
        <v>1011</v>
      </c>
      <c r="G499" s="1200" t="s">
        <v>190</v>
      </c>
      <c r="H499" s="1207" t="s">
        <v>240</v>
      </c>
      <c r="I499" s="1207">
        <v>1</v>
      </c>
      <c r="J499" s="1206" t="s">
        <v>528</v>
      </c>
      <c r="K499" s="1207" t="s">
        <v>199</v>
      </c>
      <c r="L499" s="1207" t="s">
        <v>199</v>
      </c>
      <c r="M499" s="542" t="s">
        <v>122</v>
      </c>
      <c r="N499" s="543"/>
      <c r="O499" s="544">
        <f>O500+O501</f>
        <v>1050</v>
      </c>
      <c r="P499" s="675">
        <f>P500+P501</f>
        <v>0</v>
      </c>
      <c r="Q499" s="675">
        <f>Q500+Q501</f>
        <v>0</v>
      </c>
    </row>
    <row r="500" spans="2:17" ht="16.5" thickBot="1" x14ac:dyDescent="0.3">
      <c r="B500" s="1204"/>
      <c r="C500" s="1192"/>
      <c r="D500" s="555"/>
      <c r="E500" s="1199"/>
      <c r="F500" s="1201"/>
      <c r="G500" s="1201"/>
      <c r="H500" s="1199"/>
      <c r="I500" s="1199"/>
      <c r="J500" s="1204"/>
      <c r="K500" s="1199"/>
      <c r="L500" s="1199"/>
      <c r="M500" s="636" t="s">
        <v>123</v>
      </c>
      <c r="N500" s="549"/>
      <c r="O500" s="551">
        <v>0</v>
      </c>
      <c r="P500" s="552">
        <v>0</v>
      </c>
      <c r="Q500" s="552">
        <v>0</v>
      </c>
    </row>
    <row r="501" spans="2:17" ht="16.5" thickBot="1" x14ac:dyDescent="0.3">
      <c r="B501" s="1204"/>
      <c r="C501" s="1192"/>
      <c r="D501" s="555"/>
      <c r="E501" s="1199"/>
      <c r="F501" s="1201"/>
      <c r="G501" s="1201"/>
      <c r="H501" s="1199"/>
      <c r="I501" s="1199"/>
      <c r="J501" s="1204"/>
      <c r="K501" s="1199"/>
      <c r="L501" s="1199"/>
      <c r="M501" s="672" t="s">
        <v>124</v>
      </c>
      <c r="N501" s="550"/>
      <c r="O501" s="544">
        <v>1050</v>
      </c>
      <c r="P501" s="675">
        <v>0</v>
      </c>
      <c r="Q501" s="675">
        <v>0</v>
      </c>
    </row>
    <row r="502" spans="2:17" ht="16.5" thickBot="1" x14ac:dyDescent="0.3">
      <c r="B502" s="1205"/>
      <c r="C502" s="1216"/>
      <c r="D502" s="558"/>
      <c r="E502" s="1208"/>
      <c r="F502" s="1202"/>
      <c r="G502" s="1202"/>
      <c r="H502" s="1208"/>
      <c r="I502" s="1208"/>
      <c r="J502" s="1205"/>
      <c r="K502" s="1208"/>
      <c r="L502" s="1208"/>
      <c r="M502" s="547" t="s">
        <v>745</v>
      </c>
      <c r="N502" s="549"/>
      <c r="O502" s="551">
        <v>0</v>
      </c>
      <c r="P502" s="552">
        <v>0</v>
      </c>
      <c r="Q502" s="552">
        <v>0</v>
      </c>
    </row>
    <row r="503" spans="2:17" ht="16.5" thickBot="1" x14ac:dyDescent="0.3">
      <c r="B503" s="1206" t="s">
        <v>172</v>
      </c>
      <c r="C503" s="1215">
        <v>69221</v>
      </c>
      <c r="D503" s="682">
        <v>27301829</v>
      </c>
      <c r="E503" s="1199" t="s">
        <v>525</v>
      </c>
      <c r="F503" s="1201" t="s">
        <v>1012</v>
      </c>
      <c r="G503" s="1201" t="s">
        <v>1013</v>
      </c>
      <c r="H503" s="1209" t="s">
        <v>240</v>
      </c>
      <c r="I503" s="1199">
        <v>1</v>
      </c>
      <c r="J503" s="1206" t="s">
        <v>528</v>
      </c>
      <c r="K503" s="1199" t="s">
        <v>199</v>
      </c>
      <c r="L503" s="1199" t="s">
        <v>199</v>
      </c>
      <c r="M503" s="672" t="s">
        <v>122</v>
      </c>
      <c r="N503" s="550"/>
      <c r="O503" s="561">
        <f>O504+O505</f>
        <v>100</v>
      </c>
      <c r="P503" s="561">
        <f>P504+P505</f>
        <v>0</v>
      </c>
      <c r="Q503" s="562">
        <f>Q504+Q505</f>
        <v>0</v>
      </c>
    </row>
    <row r="504" spans="2:17" ht="16.5" thickBot="1" x14ac:dyDescent="0.3">
      <c r="B504" s="1204"/>
      <c r="C504" s="1192"/>
      <c r="D504" s="555"/>
      <c r="E504" s="1199"/>
      <c r="F504" s="1201"/>
      <c r="G504" s="1201"/>
      <c r="H504" s="1209"/>
      <c r="I504" s="1199"/>
      <c r="J504" s="1204"/>
      <c r="K504" s="1199"/>
      <c r="L504" s="1199"/>
      <c r="M504" s="636" t="s">
        <v>123</v>
      </c>
      <c r="N504" s="549"/>
      <c r="O504" s="551">
        <v>0</v>
      </c>
      <c r="P504" s="551">
        <v>0</v>
      </c>
      <c r="Q504" s="552">
        <v>0</v>
      </c>
    </row>
    <row r="505" spans="2:17" ht="16.5" thickBot="1" x14ac:dyDescent="0.3">
      <c r="B505" s="1204"/>
      <c r="C505" s="1192"/>
      <c r="D505" s="555"/>
      <c r="E505" s="1199"/>
      <c r="F505" s="1201"/>
      <c r="G505" s="1201"/>
      <c r="H505" s="1209"/>
      <c r="I505" s="1199"/>
      <c r="J505" s="1204"/>
      <c r="K505" s="1199"/>
      <c r="L505" s="1199"/>
      <c r="M505" s="672" t="s">
        <v>124</v>
      </c>
      <c r="N505" s="550"/>
      <c r="O505" s="544">
        <v>100</v>
      </c>
      <c r="P505" s="544">
        <v>0</v>
      </c>
      <c r="Q505" s="675">
        <v>0</v>
      </c>
    </row>
    <row r="506" spans="2:17" ht="16.5" thickBot="1" x14ac:dyDescent="0.3">
      <c r="B506" s="1204"/>
      <c r="C506" s="1192"/>
      <c r="D506" s="680"/>
      <c r="E506" s="1199"/>
      <c r="F506" s="1201"/>
      <c r="G506" s="1201"/>
      <c r="H506" s="1209"/>
      <c r="I506" s="1199"/>
      <c r="J506" s="1204"/>
      <c r="K506" s="1199"/>
      <c r="L506" s="1199"/>
      <c r="M506" s="671" t="s">
        <v>745</v>
      </c>
      <c r="N506" s="543"/>
      <c r="O506" s="544">
        <v>0</v>
      </c>
      <c r="P506" s="544">
        <v>0</v>
      </c>
      <c r="Q506" s="675">
        <v>0</v>
      </c>
    </row>
    <row r="507" spans="2:17" ht="16.5" thickBot="1" x14ac:dyDescent="0.3">
      <c r="B507" s="1206" t="s">
        <v>172</v>
      </c>
      <c r="C507" s="1215">
        <v>69221</v>
      </c>
      <c r="D507" s="654">
        <v>27301829</v>
      </c>
      <c r="E507" s="1207" t="s">
        <v>426</v>
      </c>
      <c r="F507" s="1200" t="s">
        <v>1014</v>
      </c>
      <c r="G507" s="1200" t="s">
        <v>190</v>
      </c>
      <c r="H507" s="1207" t="s">
        <v>240</v>
      </c>
      <c r="I507" s="1207">
        <v>1</v>
      </c>
      <c r="J507" s="1206" t="s">
        <v>528</v>
      </c>
      <c r="K507" s="1207" t="s">
        <v>199</v>
      </c>
      <c r="L507" s="1207" t="s">
        <v>199</v>
      </c>
      <c r="M507" s="542" t="s">
        <v>122</v>
      </c>
      <c r="N507" s="543"/>
      <c r="O507" s="544">
        <f>O508+O509</f>
        <v>412.41</v>
      </c>
      <c r="P507" s="544">
        <f>P508+P509</f>
        <v>0</v>
      </c>
      <c r="Q507" s="675">
        <f>Q508+Q509</f>
        <v>0</v>
      </c>
    </row>
    <row r="508" spans="2:17" ht="16.5" thickBot="1" x14ac:dyDescent="0.3">
      <c r="B508" s="1204"/>
      <c r="C508" s="1192"/>
      <c r="D508" s="555"/>
      <c r="E508" s="1199"/>
      <c r="F508" s="1201"/>
      <c r="G508" s="1201"/>
      <c r="H508" s="1199"/>
      <c r="I508" s="1199"/>
      <c r="J508" s="1204"/>
      <c r="K508" s="1199"/>
      <c r="L508" s="1199"/>
      <c r="M508" s="636" t="s">
        <v>123</v>
      </c>
      <c r="N508" s="549"/>
      <c r="O508" s="551">
        <v>0</v>
      </c>
      <c r="P508" s="551">
        <v>0</v>
      </c>
      <c r="Q508" s="552">
        <v>0</v>
      </c>
    </row>
    <row r="509" spans="2:17" ht="16.5" thickBot="1" x14ac:dyDescent="0.3">
      <c r="B509" s="1204"/>
      <c r="C509" s="1192"/>
      <c r="D509" s="555"/>
      <c r="E509" s="1199"/>
      <c r="F509" s="1201"/>
      <c r="G509" s="1201"/>
      <c r="H509" s="1199"/>
      <c r="I509" s="1199"/>
      <c r="J509" s="1204"/>
      <c r="K509" s="1199"/>
      <c r="L509" s="1199"/>
      <c r="M509" s="672" t="s">
        <v>124</v>
      </c>
      <c r="N509" s="550"/>
      <c r="O509" s="544">
        <v>412.41</v>
      </c>
      <c r="P509" s="544">
        <v>0</v>
      </c>
      <c r="Q509" s="675">
        <v>0</v>
      </c>
    </row>
    <row r="510" spans="2:17" ht="16.5" thickBot="1" x14ac:dyDescent="0.3">
      <c r="B510" s="1205"/>
      <c r="C510" s="1216"/>
      <c r="D510" s="558"/>
      <c r="E510" s="1208"/>
      <c r="F510" s="1202"/>
      <c r="G510" s="1202"/>
      <c r="H510" s="1208"/>
      <c r="I510" s="1208"/>
      <c r="J510" s="1205"/>
      <c r="K510" s="1208"/>
      <c r="L510" s="1208"/>
      <c r="M510" s="547" t="s">
        <v>745</v>
      </c>
      <c r="N510" s="549"/>
      <c r="O510" s="551">
        <v>0</v>
      </c>
      <c r="P510" s="551">
        <v>0</v>
      </c>
      <c r="Q510" s="552">
        <v>0</v>
      </c>
    </row>
    <row r="511" spans="2:17" ht="16.5" thickBot="1" x14ac:dyDescent="0.3">
      <c r="B511" s="1204" t="s">
        <v>172</v>
      </c>
      <c r="C511" s="1192">
        <v>69221</v>
      </c>
      <c r="D511" s="682">
        <v>27301829</v>
      </c>
      <c r="E511" s="1199" t="s">
        <v>426</v>
      </c>
      <c r="F511" s="1201" t="s">
        <v>1015</v>
      </c>
      <c r="G511" s="1201" t="s">
        <v>1016</v>
      </c>
      <c r="H511" s="1199" t="s">
        <v>240</v>
      </c>
      <c r="I511" s="1199">
        <v>2</v>
      </c>
      <c r="J511" s="1204" t="s">
        <v>528</v>
      </c>
      <c r="K511" s="1199" t="s">
        <v>199</v>
      </c>
      <c r="L511" s="1199" t="s">
        <v>199</v>
      </c>
      <c r="M511" s="672" t="s">
        <v>122</v>
      </c>
      <c r="N511" s="550"/>
      <c r="O511" s="561">
        <f>O512+O513</f>
        <v>180.54</v>
      </c>
      <c r="P511" s="561">
        <f>P512+P513</f>
        <v>0</v>
      </c>
      <c r="Q511" s="562">
        <f>Q512+Q513</f>
        <v>0</v>
      </c>
    </row>
    <row r="512" spans="2:17" ht="16.5" thickBot="1" x14ac:dyDescent="0.3">
      <c r="B512" s="1204"/>
      <c r="C512" s="1192"/>
      <c r="D512" s="555"/>
      <c r="E512" s="1199"/>
      <c r="F512" s="1201"/>
      <c r="G512" s="1201"/>
      <c r="H512" s="1199"/>
      <c r="I512" s="1199"/>
      <c r="J512" s="1204"/>
      <c r="K512" s="1199"/>
      <c r="L512" s="1199"/>
      <c r="M512" s="636" t="s">
        <v>123</v>
      </c>
      <c r="N512" s="549"/>
      <c r="O512" s="551">
        <v>0</v>
      </c>
      <c r="P512" s="551">
        <v>0</v>
      </c>
      <c r="Q512" s="552">
        <v>0</v>
      </c>
    </row>
    <row r="513" spans="2:17" ht="16.5" thickBot="1" x14ac:dyDescent="0.3">
      <c r="B513" s="1204"/>
      <c r="C513" s="1192"/>
      <c r="D513" s="555"/>
      <c r="E513" s="1199"/>
      <c r="F513" s="1201"/>
      <c r="G513" s="1201"/>
      <c r="H513" s="1199"/>
      <c r="I513" s="1199"/>
      <c r="J513" s="1204"/>
      <c r="K513" s="1199"/>
      <c r="L513" s="1199"/>
      <c r="M513" s="672" t="s">
        <v>124</v>
      </c>
      <c r="N513" s="550"/>
      <c r="O513" s="544">
        <v>180.54</v>
      </c>
      <c r="P513" s="544">
        <v>0</v>
      </c>
      <c r="Q513" s="675">
        <v>0</v>
      </c>
    </row>
    <row r="514" spans="2:17" ht="16.5" thickBot="1" x14ac:dyDescent="0.3">
      <c r="B514" s="1205"/>
      <c r="C514" s="1216"/>
      <c r="D514" s="680"/>
      <c r="E514" s="1199"/>
      <c r="F514" s="1201"/>
      <c r="G514" s="1201"/>
      <c r="H514" s="1199"/>
      <c r="I514" s="1199"/>
      <c r="J514" s="1205"/>
      <c r="K514" s="1199"/>
      <c r="L514" s="1199"/>
      <c r="M514" s="671" t="s">
        <v>745</v>
      </c>
      <c r="N514" s="543"/>
      <c r="O514" s="544">
        <v>0</v>
      </c>
      <c r="P514" s="544">
        <v>0</v>
      </c>
      <c r="Q514" s="675">
        <v>0</v>
      </c>
    </row>
    <row r="515" spans="2:17" ht="16.5" thickBot="1" x14ac:dyDescent="0.3">
      <c r="B515" s="1204" t="s">
        <v>172</v>
      </c>
      <c r="C515" s="1192">
        <v>69221</v>
      </c>
      <c r="D515" s="654">
        <v>27301829</v>
      </c>
      <c r="E515" s="1207" t="s">
        <v>449</v>
      </c>
      <c r="F515" s="1200" t="s">
        <v>839</v>
      </c>
      <c r="G515" s="1200" t="s">
        <v>409</v>
      </c>
      <c r="H515" s="1207" t="s">
        <v>240</v>
      </c>
      <c r="I515" s="1207" t="s">
        <v>199</v>
      </c>
      <c r="J515" s="1207" t="s">
        <v>199</v>
      </c>
      <c r="K515" s="1207">
        <v>1</v>
      </c>
      <c r="L515" s="1207" t="s">
        <v>199</v>
      </c>
      <c r="M515" s="542" t="s">
        <v>122</v>
      </c>
      <c r="N515" s="543"/>
      <c r="O515" s="544">
        <f>O516+O517</f>
        <v>0</v>
      </c>
      <c r="P515" s="544">
        <f>P516+P517</f>
        <v>3900</v>
      </c>
      <c r="Q515" s="675">
        <f>Q516+Q517</f>
        <v>0</v>
      </c>
    </row>
    <row r="516" spans="2:17" ht="16.5" thickBot="1" x14ac:dyDescent="0.3">
      <c r="B516" s="1204"/>
      <c r="C516" s="1192"/>
      <c r="D516" s="555"/>
      <c r="E516" s="1199"/>
      <c r="F516" s="1201"/>
      <c r="G516" s="1201"/>
      <c r="H516" s="1199"/>
      <c r="I516" s="1199"/>
      <c r="J516" s="1199"/>
      <c r="K516" s="1199"/>
      <c r="L516" s="1199"/>
      <c r="M516" s="636" t="s">
        <v>123</v>
      </c>
      <c r="N516" s="549"/>
      <c r="O516" s="551">
        <v>0</v>
      </c>
      <c r="P516" s="551">
        <v>0</v>
      </c>
      <c r="Q516" s="552">
        <v>0</v>
      </c>
    </row>
    <row r="517" spans="2:17" ht="16.5" thickBot="1" x14ac:dyDescent="0.3">
      <c r="B517" s="1204"/>
      <c r="C517" s="1192"/>
      <c r="D517" s="555"/>
      <c r="E517" s="1199"/>
      <c r="F517" s="1201"/>
      <c r="G517" s="1201"/>
      <c r="H517" s="1199"/>
      <c r="I517" s="1199"/>
      <c r="J517" s="1199"/>
      <c r="K517" s="1199"/>
      <c r="L517" s="1199"/>
      <c r="M517" s="672" t="s">
        <v>124</v>
      </c>
      <c r="N517" s="550"/>
      <c r="O517" s="544">
        <v>0</v>
      </c>
      <c r="P517" s="544">
        <v>3900</v>
      </c>
      <c r="Q517" s="675">
        <v>0</v>
      </c>
    </row>
    <row r="518" spans="2:17" ht="16.5" thickBot="1" x14ac:dyDescent="0.3">
      <c r="B518" s="1205"/>
      <c r="C518" s="1216"/>
      <c r="D518" s="558"/>
      <c r="E518" s="1208"/>
      <c r="F518" s="1202"/>
      <c r="G518" s="1202"/>
      <c r="H518" s="1208"/>
      <c r="I518" s="1208"/>
      <c r="J518" s="1208"/>
      <c r="K518" s="1208"/>
      <c r="L518" s="1208"/>
      <c r="M518" s="547" t="s">
        <v>745</v>
      </c>
      <c r="N518" s="549"/>
      <c r="O518" s="551">
        <v>0</v>
      </c>
      <c r="P518" s="551">
        <v>0</v>
      </c>
      <c r="Q518" s="552">
        <v>0</v>
      </c>
    </row>
    <row r="519" spans="2:17" ht="16.5" thickBot="1" x14ac:dyDescent="0.3">
      <c r="B519" s="1206" t="s">
        <v>172</v>
      </c>
      <c r="C519" s="1215">
        <v>69221</v>
      </c>
      <c r="D519" s="654">
        <v>27301830</v>
      </c>
      <c r="E519" s="1207" t="s">
        <v>408</v>
      </c>
      <c r="F519" s="1200" t="s">
        <v>1017</v>
      </c>
      <c r="G519" s="1200" t="s">
        <v>190</v>
      </c>
      <c r="H519" s="1207" t="s">
        <v>240</v>
      </c>
      <c r="I519" s="1207" t="s">
        <v>199</v>
      </c>
      <c r="J519" s="1207" t="s">
        <v>199</v>
      </c>
      <c r="K519" s="1207">
        <v>1</v>
      </c>
      <c r="L519" s="1207" t="s">
        <v>199</v>
      </c>
      <c r="M519" s="542" t="s">
        <v>122</v>
      </c>
      <c r="N519" s="543"/>
      <c r="O519" s="544">
        <f>O520+O521</f>
        <v>0</v>
      </c>
      <c r="P519" s="544">
        <f>P520+P521</f>
        <v>2000</v>
      </c>
      <c r="Q519" s="675">
        <f>Q520+Q521</f>
        <v>0</v>
      </c>
    </row>
    <row r="520" spans="2:17" ht="16.5" thickBot="1" x14ac:dyDescent="0.3">
      <c r="B520" s="1204"/>
      <c r="C520" s="1192"/>
      <c r="D520" s="555"/>
      <c r="E520" s="1199"/>
      <c r="F520" s="1201"/>
      <c r="G520" s="1201"/>
      <c r="H520" s="1199"/>
      <c r="I520" s="1199"/>
      <c r="J520" s="1199"/>
      <c r="K520" s="1199"/>
      <c r="L520" s="1199"/>
      <c r="M520" s="636" t="s">
        <v>123</v>
      </c>
      <c r="N520" s="549"/>
      <c r="O520" s="551">
        <v>0</v>
      </c>
      <c r="P520" s="551">
        <v>0</v>
      </c>
      <c r="Q520" s="552">
        <v>0</v>
      </c>
    </row>
    <row r="521" spans="2:17" ht="16.5" thickBot="1" x14ac:dyDescent="0.3">
      <c r="B521" s="1204"/>
      <c r="C521" s="1192"/>
      <c r="D521" s="555"/>
      <c r="E521" s="1199"/>
      <c r="F521" s="1201"/>
      <c r="G521" s="1201"/>
      <c r="H521" s="1199"/>
      <c r="I521" s="1199"/>
      <c r="J521" s="1199"/>
      <c r="K521" s="1199"/>
      <c r="L521" s="1199"/>
      <c r="M521" s="672" t="s">
        <v>124</v>
      </c>
      <c r="N521" s="550"/>
      <c r="O521" s="544">
        <v>0</v>
      </c>
      <c r="P521" s="544">
        <v>2000</v>
      </c>
      <c r="Q521" s="675">
        <v>0</v>
      </c>
    </row>
    <row r="522" spans="2:17" ht="16.5" thickBot="1" x14ac:dyDescent="0.3">
      <c r="B522" s="1205"/>
      <c r="C522" s="1216"/>
      <c r="D522" s="558"/>
      <c r="E522" s="1208"/>
      <c r="F522" s="1202"/>
      <c r="G522" s="1202"/>
      <c r="H522" s="1208"/>
      <c r="I522" s="1208"/>
      <c r="J522" s="1208"/>
      <c r="K522" s="1208"/>
      <c r="L522" s="1208"/>
      <c r="M522" s="547" t="s">
        <v>745</v>
      </c>
      <c r="N522" s="549"/>
      <c r="O522" s="551">
        <v>0</v>
      </c>
      <c r="P522" s="551">
        <v>0</v>
      </c>
      <c r="Q522" s="552">
        <v>0</v>
      </c>
    </row>
    <row r="523" spans="2:17" ht="16.5" thickBot="1" x14ac:dyDescent="0.3">
      <c r="B523" s="1204" t="s">
        <v>172</v>
      </c>
      <c r="C523" s="1192">
        <v>69221</v>
      </c>
      <c r="D523" s="682">
        <v>27301829</v>
      </c>
      <c r="E523" s="1207" t="s">
        <v>451</v>
      </c>
      <c r="F523" s="1201" t="s">
        <v>930</v>
      </c>
      <c r="G523" s="1201" t="s">
        <v>1018</v>
      </c>
      <c r="H523" s="1199" t="s">
        <v>240</v>
      </c>
      <c r="I523" s="1207" t="s">
        <v>199</v>
      </c>
      <c r="J523" s="1207" t="s">
        <v>199</v>
      </c>
      <c r="K523" s="1199">
        <v>4</v>
      </c>
      <c r="L523" s="1199" t="s">
        <v>199</v>
      </c>
      <c r="M523" s="672" t="s">
        <v>122</v>
      </c>
      <c r="N523" s="550"/>
      <c r="O523" s="561">
        <f>O524+O525</f>
        <v>0</v>
      </c>
      <c r="P523" s="561">
        <f>P524+P525</f>
        <v>300</v>
      </c>
      <c r="Q523" s="562">
        <f>Q524+Q525</f>
        <v>0</v>
      </c>
    </row>
    <row r="524" spans="2:17" ht="16.5" thickBot="1" x14ac:dyDescent="0.3">
      <c r="B524" s="1204"/>
      <c r="C524" s="1192"/>
      <c r="D524" s="555"/>
      <c r="E524" s="1199"/>
      <c r="F524" s="1201"/>
      <c r="G524" s="1201"/>
      <c r="H524" s="1199"/>
      <c r="I524" s="1199"/>
      <c r="J524" s="1199"/>
      <c r="K524" s="1199"/>
      <c r="L524" s="1199"/>
      <c r="M524" s="636" t="s">
        <v>123</v>
      </c>
      <c r="N524" s="549"/>
      <c r="O524" s="551">
        <v>0</v>
      </c>
      <c r="P524" s="551">
        <v>0</v>
      </c>
      <c r="Q524" s="552">
        <v>0</v>
      </c>
    </row>
    <row r="525" spans="2:17" ht="16.5" thickBot="1" x14ac:dyDescent="0.3">
      <c r="B525" s="1204"/>
      <c r="C525" s="1192"/>
      <c r="D525" s="555"/>
      <c r="E525" s="1199"/>
      <c r="F525" s="1201"/>
      <c r="G525" s="1201"/>
      <c r="H525" s="1199"/>
      <c r="I525" s="1199"/>
      <c r="J525" s="1199"/>
      <c r="K525" s="1199"/>
      <c r="L525" s="1199"/>
      <c r="M525" s="672" t="s">
        <v>124</v>
      </c>
      <c r="N525" s="550"/>
      <c r="O525" s="544">
        <v>0</v>
      </c>
      <c r="P525" s="544">
        <v>300</v>
      </c>
      <c r="Q525" s="675">
        <v>0</v>
      </c>
    </row>
    <row r="526" spans="2:17" ht="16.5" thickBot="1" x14ac:dyDescent="0.3">
      <c r="B526" s="1205"/>
      <c r="C526" s="1216"/>
      <c r="D526" s="680"/>
      <c r="E526" s="1208"/>
      <c r="F526" s="1201"/>
      <c r="G526" s="1201"/>
      <c r="H526" s="1199"/>
      <c r="I526" s="1208"/>
      <c r="J526" s="1208"/>
      <c r="K526" s="1199"/>
      <c r="L526" s="1199"/>
      <c r="M526" s="671" t="s">
        <v>745</v>
      </c>
      <c r="N526" s="543"/>
      <c r="O526" s="544">
        <v>0</v>
      </c>
      <c r="P526" s="544">
        <v>0</v>
      </c>
      <c r="Q526" s="675">
        <v>0</v>
      </c>
    </row>
    <row r="527" spans="2:17" ht="16.5" thickBot="1" x14ac:dyDescent="0.3">
      <c r="B527" s="1204" t="s">
        <v>172</v>
      </c>
      <c r="C527" s="1192">
        <v>69221</v>
      </c>
      <c r="D527" s="654">
        <v>27301829</v>
      </c>
      <c r="E527" s="1207" t="s">
        <v>452</v>
      </c>
      <c r="F527" s="1200" t="s">
        <v>1019</v>
      </c>
      <c r="G527" s="1200" t="s">
        <v>190</v>
      </c>
      <c r="H527" s="1207" t="s">
        <v>240</v>
      </c>
      <c r="I527" s="1207" t="s">
        <v>199</v>
      </c>
      <c r="J527" s="1207" t="s">
        <v>199</v>
      </c>
      <c r="K527" s="1207">
        <v>1</v>
      </c>
      <c r="L527" s="1207" t="s">
        <v>199</v>
      </c>
      <c r="M527" s="542" t="s">
        <v>122</v>
      </c>
      <c r="N527" s="543"/>
      <c r="O527" s="544">
        <f>O528+O529</f>
        <v>0</v>
      </c>
      <c r="P527" s="544">
        <f>P528+P529</f>
        <v>1600</v>
      </c>
      <c r="Q527" s="675">
        <f>Q528+Q529</f>
        <v>0</v>
      </c>
    </row>
    <row r="528" spans="2:17" ht="16.5" thickBot="1" x14ac:dyDescent="0.3">
      <c r="B528" s="1204"/>
      <c r="C528" s="1192"/>
      <c r="D528" s="555"/>
      <c r="E528" s="1199"/>
      <c r="F528" s="1201"/>
      <c r="G528" s="1201"/>
      <c r="H528" s="1199"/>
      <c r="I528" s="1199"/>
      <c r="J528" s="1199"/>
      <c r="K528" s="1199"/>
      <c r="L528" s="1199"/>
      <c r="M528" s="636" t="s">
        <v>123</v>
      </c>
      <c r="N528" s="549"/>
      <c r="O528" s="551">
        <v>0</v>
      </c>
      <c r="P528" s="551">
        <v>0</v>
      </c>
      <c r="Q528" s="552">
        <v>0</v>
      </c>
    </row>
    <row r="529" spans="2:17" ht="16.5" thickBot="1" x14ac:dyDescent="0.3">
      <c r="B529" s="1204"/>
      <c r="C529" s="1192"/>
      <c r="D529" s="555"/>
      <c r="E529" s="1199"/>
      <c r="F529" s="1201"/>
      <c r="G529" s="1201"/>
      <c r="H529" s="1199"/>
      <c r="I529" s="1199"/>
      <c r="J529" s="1199"/>
      <c r="K529" s="1199"/>
      <c r="L529" s="1199"/>
      <c r="M529" s="672" t="s">
        <v>124</v>
      </c>
      <c r="N529" s="550"/>
      <c r="O529" s="544">
        <v>0</v>
      </c>
      <c r="P529" s="544">
        <v>1600</v>
      </c>
      <c r="Q529" s="675">
        <v>0</v>
      </c>
    </row>
    <row r="530" spans="2:17" ht="16.5" thickBot="1" x14ac:dyDescent="0.3">
      <c r="B530" s="1205"/>
      <c r="C530" s="1216"/>
      <c r="D530" s="558"/>
      <c r="E530" s="1208"/>
      <c r="F530" s="1202"/>
      <c r="G530" s="1202"/>
      <c r="H530" s="1208"/>
      <c r="I530" s="1208"/>
      <c r="J530" s="1208"/>
      <c r="K530" s="1208"/>
      <c r="L530" s="1208"/>
      <c r="M530" s="547" t="s">
        <v>745</v>
      </c>
      <c r="N530" s="549"/>
      <c r="O530" s="551">
        <v>0</v>
      </c>
      <c r="P530" s="551">
        <v>0</v>
      </c>
      <c r="Q530" s="552">
        <v>0</v>
      </c>
    </row>
    <row r="531" spans="2:17" ht="16.5" thickBot="1" x14ac:dyDescent="0.3">
      <c r="B531" s="1204" t="s">
        <v>172</v>
      </c>
      <c r="C531" s="1192">
        <v>69221</v>
      </c>
      <c r="D531" s="654">
        <v>27301830</v>
      </c>
      <c r="E531" s="1207" t="s">
        <v>422</v>
      </c>
      <c r="F531" s="1234" t="s">
        <v>934</v>
      </c>
      <c r="G531" s="1234" t="s">
        <v>935</v>
      </c>
      <c r="H531" s="1312" t="s">
        <v>240</v>
      </c>
      <c r="I531" s="1206" t="s">
        <v>199</v>
      </c>
      <c r="J531" s="1206" t="s">
        <v>199</v>
      </c>
      <c r="K531" s="1206" t="s">
        <v>741</v>
      </c>
      <c r="L531" s="1206" t="s">
        <v>199</v>
      </c>
      <c r="M531" s="542" t="s">
        <v>122</v>
      </c>
      <c r="N531" s="543"/>
      <c r="O531" s="544">
        <f>O532+O533</f>
        <v>0</v>
      </c>
      <c r="P531" s="544">
        <f>P532+P533</f>
        <v>310</v>
      </c>
      <c r="Q531" s="675">
        <f>Q532+Q533</f>
        <v>0</v>
      </c>
    </row>
    <row r="532" spans="2:17" ht="16.5" thickBot="1" x14ac:dyDescent="0.3">
      <c r="B532" s="1204"/>
      <c r="C532" s="1192"/>
      <c r="D532" s="555"/>
      <c r="E532" s="1199"/>
      <c r="F532" s="1201"/>
      <c r="G532" s="1201"/>
      <c r="H532" s="1209"/>
      <c r="I532" s="1204"/>
      <c r="J532" s="1204"/>
      <c r="K532" s="1204"/>
      <c r="L532" s="1204"/>
      <c r="M532" s="636" t="s">
        <v>123</v>
      </c>
      <c r="N532" s="549"/>
      <c r="O532" s="551">
        <v>0</v>
      </c>
      <c r="P532" s="551">
        <v>0</v>
      </c>
      <c r="Q532" s="552">
        <v>0</v>
      </c>
    </row>
    <row r="533" spans="2:17" ht="16.5" thickBot="1" x14ac:dyDescent="0.3">
      <c r="B533" s="1204"/>
      <c r="C533" s="1192"/>
      <c r="D533" s="555"/>
      <c r="E533" s="1199"/>
      <c r="F533" s="1201"/>
      <c r="G533" s="1201"/>
      <c r="H533" s="1209"/>
      <c r="I533" s="1204"/>
      <c r="J533" s="1204"/>
      <c r="K533" s="1204"/>
      <c r="L533" s="1204"/>
      <c r="M533" s="672" t="s">
        <v>124</v>
      </c>
      <c r="N533" s="550"/>
      <c r="O533" s="544">
        <v>0</v>
      </c>
      <c r="P533" s="544">
        <v>310</v>
      </c>
      <c r="Q533" s="675">
        <v>0</v>
      </c>
    </row>
    <row r="534" spans="2:17" ht="16.5" thickBot="1" x14ac:dyDescent="0.3">
      <c r="B534" s="1204"/>
      <c r="C534" s="1192"/>
      <c r="D534" s="680"/>
      <c r="E534" s="1199"/>
      <c r="F534" s="1201"/>
      <c r="G534" s="1201"/>
      <c r="H534" s="1209"/>
      <c r="I534" s="1204"/>
      <c r="J534" s="1204"/>
      <c r="K534" s="1204"/>
      <c r="L534" s="1204"/>
      <c r="M534" s="671" t="s">
        <v>745</v>
      </c>
      <c r="N534" s="543"/>
      <c r="O534" s="544">
        <v>0</v>
      </c>
      <c r="P534" s="544">
        <v>0</v>
      </c>
      <c r="Q534" s="675">
        <v>0</v>
      </c>
    </row>
    <row r="535" spans="2:17" ht="16.5" thickBot="1" x14ac:dyDescent="0.3">
      <c r="B535" s="1206" t="s">
        <v>172</v>
      </c>
      <c r="C535" s="1215">
        <v>69221</v>
      </c>
      <c r="D535" s="654">
        <v>27301829</v>
      </c>
      <c r="E535" s="1207" t="s">
        <v>426</v>
      </c>
      <c r="F535" s="1200" t="s">
        <v>930</v>
      </c>
      <c r="G535" s="1200" t="s">
        <v>1018</v>
      </c>
      <c r="H535" s="1232" t="s">
        <v>240</v>
      </c>
      <c r="I535" s="1206" t="s">
        <v>199</v>
      </c>
      <c r="J535" s="1207" t="s">
        <v>199</v>
      </c>
      <c r="K535" s="1206" t="s">
        <v>373</v>
      </c>
      <c r="L535" s="1206" t="s">
        <v>199</v>
      </c>
      <c r="M535" s="542" t="s">
        <v>122</v>
      </c>
      <c r="N535" s="543"/>
      <c r="O535" s="544">
        <f>O536+O537</f>
        <v>0</v>
      </c>
      <c r="P535" s="544">
        <f>P536+P537</f>
        <v>67.614000000000004</v>
      </c>
      <c r="Q535" s="675">
        <f>Q536+Q537</f>
        <v>0</v>
      </c>
    </row>
    <row r="536" spans="2:17" ht="16.5" thickBot="1" x14ac:dyDescent="0.3">
      <c r="B536" s="1204"/>
      <c r="C536" s="1192"/>
      <c r="D536" s="555"/>
      <c r="E536" s="1199"/>
      <c r="F536" s="1201"/>
      <c r="G536" s="1201"/>
      <c r="H536" s="1209"/>
      <c r="I536" s="1204"/>
      <c r="J536" s="1199"/>
      <c r="K536" s="1204"/>
      <c r="L536" s="1204"/>
      <c r="M536" s="636" t="s">
        <v>123</v>
      </c>
      <c r="N536" s="549"/>
      <c r="O536" s="551">
        <v>0</v>
      </c>
      <c r="P536" s="551">
        <v>0</v>
      </c>
      <c r="Q536" s="552">
        <v>0</v>
      </c>
    </row>
    <row r="537" spans="2:17" ht="16.5" thickBot="1" x14ac:dyDescent="0.3">
      <c r="B537" s="1204"/>
      <c r="C537" s="1192"/>
      <c r="D537" s="555"/>
      <c r="E537" s="1199"/>
      <c r="F537" s="1201"/>
      <c r="G537" s="1201"/>
      <c r="H537" s="1209"/>
      <c r="I537" s="1204"/>
      <c r="J537" s="1199"/>
      <c r="K537" s="1204"/>
      <c r="L537" s="1204"/>
      <c r="M537" s="672" t="s">
        <v>124</v>
      </c>
      <c r="N537" s="550"/>
      <c r="O537" s="544">
        <v>0</v>
      </c>
      <c r="P537" s="544">
        <v>67.614000000000004</v>
      </c>
      <c r="Q537" s="675">
        <v>0</v>
      </c>
    </row>
    <row r="538" spans="2:17" ht="16.5" thickBot="1" x14ac:dyDescent="0.3">
      <c r="B538" s="1205"/>
      <c r="C538" s="1216"/>
      <c r="D538" s="558"/>
      <c r="E538" s="1208"/>
      <c r="F538" s="1202"/>
      <c r="G538" s="1202"/>
      <c r="H538" s="1210"/>
      <c r="I538" s="1205"/>
      <c r="J538" s="1208"/>
      <c r="K538" s="1205"/>
      <c r="L538" s="1205"/>
      <c r="M538" s="547" t="s">
        <v>745</v>
      </c>
      <c r="N538" s="549"/>
      <c r="O538" s="551">
        <v>0</v>
      </c>
      <c r="P538" s="551">
        <v>0</v>
      </c>
      <c r="Q538" s="552">
        <v>0</v>
      </c>
    </row>
    <row r="539" spans="2:17" ht="16.5" thickBot="1" x14ac:dyDescent="0.3">
      <c r="B539" s="1206" t="s">
        <v>172</v>
      </c>
      <c r="C539" s="1215">
        <v>69221</v>
      </c>
      <c r="D539" s="682">
        <v>27301829</v>
      </c>
      <c r="E539" s="1207" t="s">
        <v>451</v>
      </c>
      <c r="F539" s="1201" t="s">
        <v>760</v>
      </c>
      <c r="G539" s="1200" t="s">
        <v>190</v>
      </c>
      <c r="H539" s="1207" t="s">
        <v>240</v>
      </c>
      <c r="I539" s="1207" t="s">
        <v>199</v>
      </c>
      <c r="J539" s="1199" t="s">
        <v>199</v>
      </c>
      <c r="K539" s="1199" t="s">
        <v>199</v>
      </c>
      <c r="L539" s="1199">
        <v>1</v>
      </c>
      <c r="M539" s="672" t="s">
        <v>122</v>
      </c>
      <c r="N539" s="550"/>
      <c r="O539" s="561">
        <f>O540+O541</f>
        <v>0</v>
      </c>
      <c r="P539" s="561">
        <f>P540+P541</f>
        <v>0</v>
      </c>
      <c r="Q539" s="562">
        <f>Q540+Q541</f>
        <v>1000</v>
      </c>
    </row>
    <row r="540" spans="2:17" ht="16.5" thickBot="1" x14ac:dyDescent="0.3">
      <c r="B540" s="1204"/>
      <c r="C540" s="1192"/>
      <c r="D540" s="555"/>
      <c r="E540" s="1199"/>
      <c r="F540" s="1201"/>
      <c r="G540" s="1201"/>
      <c r="H540" s="1199"/>
      <c r="I540" s="1199"/>
      <c r="J540" s="1199"/>
      <c r="K540" s="1199"/>
      <c r="L540" s="1199"/>
      <c r="M540" s="636" t="s">
        <v>123</v>
      </c>
      <c r="N540" s="549"/>
      <c r="O540" s="551">
        <v>0</v>
      </c>
      <c r="P540" s="551">
        <v>0</v>
      </c>
      <c r="Q540" s="552">
        <v>0</v>
      </c>
    </row>
    <row r="541" spans="2:17" ht="16.5" thickBot="1" x14ac:dyDescent="0.3">
      <c r="B541" s="1204"/>
      <c r="C541" s="1192"/>
      <c r="D541" s="555"/>
      <c r="E541" s="1199"/>
      <c r="F541" s="1201"/>
      <c r="G541" s="1201"/>
      <c r="H541" s="1199"/>
      <c r="I541" s="1199"/>
      <c r="J541" s="1199"/>
      <c r="K541" s="1199"/>
      <c r="L541" s="1199"/>
      <c r="M541" s="672" t="s">
        <v>124</v>
      </c>
      <c r="N541" s="550"/>
      <c r="O541" s="544">
        <v>0</v>
      </c>
      <c r="P541" s="544">
        <v>0</v>
      </c>
      <c r="Q541" s="675">
        <v>1000</v>
      </c>
    </row>
    <row r="542" spans="2:17" ht="16.5" thickBot="1" x14ac:dyDescent="0.3">
      <c r="B542" s="1205"/>
      <c r="C542" s="1216"/>
      <c r="D542" s="558"/>
      <c r="E542" s="1208"/>
      <c r="F542" s="1202"/>
      <c r="G542" s="1202"/>
      <c r="H542" s="1208"/>
      <c r="I542" s="1208"/>
      <c r="J542" s="1199"/>
      <c r="K542" s="1208"/>
      <c r="L542" s="1208"/>
      <c r="M542" s="547" t="s">
        <v>745</v>
      </c>
      <c r="N542" s="549"/>
      <c r="O542" s="551">
        <v>0</v>
      </c>
      <c r="P542" s="551">
        <v>0</v>
      </c>
      <c r="Q542" s="552">
        <v>0</v>
      </c>
    </row>
    <row r="543" spans="2:17" ht="16.5" thickBot="1" x14ac:dyDescent="0.3">
      <c r="B543" s="1206" t="s">
        <v>172</v>
      </c>
      <c r="C543" s="1215">
        <v>69221</v>
      </c>
      <c r="D543" s="682">
        <v>27301829</v>
      </c>
      <c r="E543" s="1207" t="s">
        <v>451</v>
      </c>
      <c r="F543" s="1234" t="s">
        <v>925</v>
      </c>
      <c r="G543" s="1234" t="s">
        <v>989</v>
      </c>
      <c r="H543" s="1312" t="s">
        <v>240</v>
      </c>
      <c r="I543" s="1206" t="s">
        <v>199</v>
      </c>
      <c r="J543" s="1207" t="s">
        <v>199</v>
      </c>
      <c r="K543" s="1199" t="s">
        <v>199</v>
      </c>
      <c r="L543" s="1199">
        <v>3</v>
      </c>
      <c r="M543" s="672" t="s">
        <v>122</v>
      </c>
      <c r="N543" s="550"/>
      <c r="O543" s="561">
        <f>O544+O545</f>
        <v>0</v>
      </c>
      <c r="P543" s="561">
        <f>P544+P545</f>
        <v>0</v>
      </c>
      <c r="Q543" s="562">
        <f>Q544+Q545</f>
        <v>162</v>
      </c>
    </row>
    <row r="544" spans="2:17" ht="16.5" thickBot="1" x14ac:dyDescent="0.3">
      <c r="B544" s="1204"/>
      <c r="C544" s="1192"/>
      <c r="D544" s="555"/>
      <c r="E544" s="1199"/>
      <c r="F544" s="1201"/>
      <c r="G544" s="1201"/>
      <c r="H544" s="1209"/>
      <c r="I544" s="1204"/>
      <c r="J544" s="1199"/>
      <c r="K544" s="1199"/>
      <c r="L544" s="1199"/>
      <c r="M544" s="636" t="s">
        <v>123</v>
      </c>
      <c r="N544" s="549"/>
      <c r="O544" s="551">
        <v>0</v>
      </c>
      <c r="P544" s="551">
        <v>0</v>
      </c>
      <c r="Q544" s="552">
        <v>0</v>
      </c>
    </row>
    <row r="545" spans="2:28" ht="16.5" thickBot="1" x14ac:dyDescent="0.3">
      <c r="B545" s="1204"/>
      <c r="C545" s="1192"/>
      <c r="D545" s="555"/>
      <c r="E545" s="1199"/>
      <c r="F545" s="1201"/>
      <c r="G545" s="1201"/>
      <c r="H545" s="1209"/>
      <c r="I545" s="1204"/>
      <c r="J545" s="1199"/>
      <c r="K545" s="1199"/>
      <c r="L545" s="1199"/>
      <c r="M545" s="672" t="s">
        <v>124</v>
      </c>
      <c r="N545" s="550"/>
      <c r="O545" s="544">
        <v>0</v>
      </c>
      <c r="P545" s="544">
        <v>0</v>
      </c>
      <c r="Q545" s="675">
        <v>162</v>
      </c>
    </row>
    <row r="546" spans="2:28" ht="16.5" thickBot="1" x14ac:dyDescent="0.3">
      <c r="B546" s="1204"/>
      <c r="C546" s="1192"/>
      <c r="D546" s="680"/>
      <c r="E546" s="1199"/>
      <c r="F546" s="1201"/>
      <c r="G546" s="1201"/>
      <c r="H546" s="1209"/>
      <c r="I546" s="1204"/>
      <c r="J546" s="1208"/>
      <c r="K546" s="1199"/>
      <c r="L546" s="1199"/>
      <c r="M546" s="671" t="s">
        <v>745</v>
      </c>
      <c r="N546" s="543"/>
      <c r="O546" s="544">
        <v>0</v>
      </c>
      <c r="P546" s="544">
        <v>0</v>
      </c>
      <c r="Q546" s="675">
        <v>0</v>
      </c>
    </row>
    <row r="547" spans="2:28" ht="16.5" thickBot="1" x14ac:dyDescent="0.3">
      <c r="B547" s="1206" t="s">
        <v>172</v>
      </c>
      <c r="C547" s="1215">
        <v>69221</v>
      </c>
      <c r="D547" s="654">
        <v>27301829</v>
      </c>
      <c r="E547" s="1207" t="s">
        <v>525</v>
      </c>
      <c r="F547" s="1200" t="s">
        <v>930</v>
      </c>
      <c r="G547" s="1200" t="s">
        <v>1018</v>
      </c>
      <c r="H547" s="1232" t="s">
        <v>240</v>
      </c>
      <c r="I547" s="1207" t="s">
        <v>199</v>
      </c>
      <c r="J547" s="1199" t="s">
        <v>199</v>
      </c>
      <c r="K547" s="1207" t="s">
        <v>199</v>
      </c>
      <c r="L547" s="1207">
        <v>4</v>
      </c>
      <c r="M547" s="542" t="s">
        <v>122</v>
      </c>
      <c r="N547" s="543"/>
      <c r="O547" s="544">
        <f>O548+O549</f>
        <v>0</v>
      </c>
      <c r="P547" s="544">
        <f>P548+P549</f>
        <v>0</v>
      </c>
      <c r="Q547" s="675">
        <f>Q548+Q549</f>
        <v>170.61</v>
      </c>
    </row>
    <row r="548" spans="2:28" ht="16.5" thickBot="1" x14ac:dyDescent="0.3">
      <c r="B548" s="1204"/>
      <c r="C548" s="1192"/>
      <c r="D548" s="555"/>
      <c r="E548" s="1199"/>
      <c r="F548" s="1201"/>
      <c r="G548" s="1201"/>
      <c r="H548" s="1209"/>
      <c r="I548" s="1199"/>
      <c r="J548" s="1199"/>
      <c r="K548" s="1199"/>
      <c r="L548" s="1199"/>
      <c r="M548" s="636" t="s">
        <v>123</v>
      </c>
      <c r="N548" s="549"/>
      <c r="O548" s="551">
        <v>0</v>
      </c>
      <c r="P548" s="551">
        <v>0</v>
      </c>
      <c r="Q548" s="552">
        <v>0</v>
      </c>
    </row>
    <row r="549" spans="2:28" ht="16.5" thickBot="1" x14ac:dyDescent="0.3">
      <c r="B549" s="1204"/>
      <c r="C549" s="1192"/>
      <c r="D549" s="555"/>
      <c r="E549" s="1199"/>
      <c r="F549" s="1201"/>
      <c r="G549" s="1201"/>
      <c r="H549" s="1209"/>
      <c r="I549" s="1199"/>
      <c r="J549" s="1199"/>
      <c r="K549" s="1199"/>
      <c r="L549" s="1199"/>
      <c r="M549" s="672" t="s">
        <v>124</v>
      </c>
      <c r="N549" s="550"/>
      <c r="O549" s="544">
        <v>0</v>
      </c>
      <c r="P549" s="544">
        <v>0</v>
      </c>
      <c r="Q549" s="675">
        <v>170.61</v>
      </c>
    </row>
    <row r="550" spans="2:28" ht="16.5" thickBot="1" x14ac:dyDescent="0.3">
      <c r="B550" s="1205"/>
      <c r="C550" s="1216"/>
      <c r="D550" s="558"/>
      <c r="E550" s="1208"/>
      <c r="F550" s="1202"/>
      <c r="G550" s="1202"/>
      <c r="H550" s="1210"/>
      <c r="I550" s="1208"/>
      <c r="J550" s="1199"/>
      <c r="K550" s="1208"/>
      <c r="L550" s="1208"/>
      <c r="M550" s="547" t="s">
        <v>745</v>
      </c>
      <c r="N550" s="549"/>
      <c r="O550" s="551">
        <v>0</v>
      </c>
      <c r="P550" s="551">
        <v>0</v>
      </c>
      <c r="Q550" s="552">
        <v>0</v>
      </c>
    </row>
    <row r="551" spans="2:28" ht="40.5" customHeight="1" thickBot="1" x14ac:dyDescent="0.3">
      <c r="B551" s="1206" t="s">
        <v>173</v>
      </c>
      <c r="C551" s="1207" t="s">
        <v>116</v>
      </c>
      <c r="D551" s="1207" t="s">
        <v>116</v>
      </c>
      <c r="E551" s="1207" t="s">
        <v>116</v>
      </c>
      <c r="F551" s="1229" t="s">
        <v>284</v>
      </c>
      <c r="G551" s="581" t="s">
        <v>221</v>
      </c>
      <c r="H551" s="654" t="s">
        <v>241</v>
      </c>
      <c r="I551" s="593" t="s">
        <v>1035</v>
      </c>
      <c r="J551" s="1206" t="s">
        <v>528</v>
      </c>
      <c r="K551" s="593" t="s">
        <v>1040</v>
      </c>
      <c r="L551" s="593" t="s">
        <v>1041</v>
      </c>
      <c r="M551" s="542" t="s">
        <v>122</v>
      </c>
      <c r="N551" s="543"/>
      <c r="O551" s="544">
        <f>O552+O553</f>
        <v>196740.53399999999</v>
      </c>
      <c r="P551" s="544">
        <f>P552+P553</f>
        <v>129496.37</v>
      </c>
      <c r="Q551" s="675">
        <f>Q552+Q553</f>
        <v>132931.97999999998</v>
      </c>
      <c r="R551" s="51">
        <v>196740.53099999999</v>
      </c>
      <c r="S551" s="51">
        <v>129496.371</v>
      </c>
      <c r="T551" s="51">
        <v>132931.981</v>
      </c>
      <c r="V551" s="51">
        <v>196740.53099999999</v>
      </c>
      <c r="W551" s="51">
        <v>129496.371</v>
      </c>
      <c r="X551" s="51">
        <v>132931.981</v>
      </c>
      <c r="Z551" s="776">
        <f>V551-O551</f>
        <v>-2.9999999969732016E-3</v>
      </c>
      <c r="AA551" s="776">
        <f>W551-P551</f>
        <v>1.0000000038417056E-3</v>
      </c>
      <c r="AB551" s="776">
        <f>X551-Q551</f>
        <v>1.0000000183936208E-3</v>
      </c>
    </row>
    <row r="552" spans="2:28" ht="19.5" customHeight="1" thickBot="1" x14ac:dyDescent="0.3">
      <c r="B552" s="1204"/>
      <c r="C552" s="1199"/>
      <c r="D552" s="1199"/>
      <c r="E552" s="1199"/>
      <c r="F552" s="1230"/>
      <c r="G552" s="1234" t="s">
        <v>1063</v>
      </c>
      <c r="H552" s="1236" t="s">
        <v>241</v>
      </c>
      <c r="I552" s="1236">
        <v>23067</v>
      </c>
      <c r="J552" s="1204"/>
      <c r="K552" s="1236">
        <v>23067</v>
      </c>
      <c r="L552" s="1236">
        <v>23067</v>
      </c>
      <c r="M552" s="636" t="s">
        <v>123</v>
      </c>
      <c r="N552" s="549"/>
      <c r="O552" s="544">
        <f>O556+O580+O601</f>
        <v>0</v>
      </c>
      <c r="P552" s="544">
        <f t="shared" ref="P552:Q554" si="10">P556+P580+P601</f>
        <v>0</v>
      </c>
      <c r="Q552" s="675">
        <f t="shared" si="10"/>
        <v>0</v>
      </c>
      <c r="R552" s="781">
        <f>R551-O551</f>
        <v>-2.9999999969732016E-3</v>
      </c>
      <c r="S552" s="781">
        <f>S551-P551</f>
        <v>1.0000000038417056E-3</v>
      </c>
      <c r="T552" s="781">
        <f>T551-Q551</f>
        <v>1.0000000183936208E-3</v>
      </c>
    </row>
    <row r="553" spans="2:28" ht="16.5" thickBot="1" x14ac:dyDescent="0.3">
      <c r="B553" s="1204"/>
      <c r="C553" s="1199"/>
      <c r="D553" s="1199"/>
      <c r="E553" s="1199"/>
      <c r="F553" s="1230"/>
      <c r="G553" s="1201"/>
      <c r="H553" s="1199"/>
      <c r="I553" s="1199"/>
      <c r="J553" s="1204"/>
      <c r="K553" s="1199"/>
      <c r="L553" s="1199"/>
      <c r="M553" s="672" t="s">
        <v>124</v>
      </c>
      <c r="N553" s="550"/>
      <c r="O553" s="544">
        <f>O557+O581+O602</f>
        <v>196740.53399999999</v>
      </c>
      <c r="P553" s="544">
        <f t="shared" si="10"/>
        <v>129496.37</v>
      </c>
      <c r="Q553" s="675">
        <f t="shared" si="10"/>
        <v>132931.97999999998</v>
      </c>
    </row>
    <row r="554" spans="2:28" ht="16.5" thickBot="1" x14ac:dyDescent="0.3">
      <c r="B554" s="1204"/>
      <c r="C554" s="1199"/>
      <c r="D554" s="1199"/>
      <c r="E554" s="1199"/>
      <c r="F554" s="1230"/>
      <c r="G554" s="1201"/>
      <c r="H554" s="1199"/>
      <c r="I554" s="1199"/>
      <c r="J554" s="1204"/>
      <c r="K554" s="1199"/>
      <c r="L554" s="1208"/>
      <c r="M554" s="547" t="s">
        <v>745</v>
      </c>
      <c r="N554" s="549"/>
      <c r="O554" s="551">
        <f>O558+O582+O603</f>
        <v>0</v>
      </c>
      <c r="P554" s="551">
        <f t="shared" si="10"/>
        <v>0</v>
      </c>
      <c r="Q554" s="552">
        <f t="shared" si="10"/>
        <v>0</v>
      </c>
    </row>
    <row r="555" spans="2:28" ht="16.5" thickBot="1" x14ac:dyDescent="0.3">
      <c r="B555" s="1206" t="s">
        <v>173</v>
      </c>
      <c r="C555" s="1308">
        <v>67712</v>
      </c>
      <c r="D555" s="704">
        <v>27300364</v>
      </c>
      <c r="E555" s="1232" t="s">
        <v>192</v>
      </c>
      <c r="F555" s="1200" t="s">
        <v>1055</v>
      </c>
      <c r="G555" s="1207" t="s">
        <v>221</v>
      </c>
      <c r="H555" s="1232" t="s">
        <v>241</v>
      </c>
      <c r="I555" s="1206" t="s">
        <v>1035</v>
      </c>
      <c r="J555" s="1206" t="s">
        <v>528</v>
      </c>
      <c r="K555" s="1206" t="s">
        <v>1040</v>
      </c>
      <c r="L555" s="1206" t="s">
        <v>1041</v>
      </c>
      <c r="M555" s="542" t="s">
        <v>122</v>
      </c>
      <c r="N555" s="549"/>
      <c r="O555" s="797">
        <f>O556+O557+O558</f>
        <v>4143.9040000000005</v>
      </c>
      <c r="P555" s="552">
        <f>P556+P557+P558</f>
        <v>2000</v>
      </c>
      <c r="Q555" s="552">
        <f>Q556+Q557+Q558</f>
        <v>2000</v>
      </c>
      <c r="R555" s="51">
        <f>4143904/1000</f>
        <v>4143.9040000000005</v>
      </c>
      <c r="S555" s="51">
        <f>2000000/1000</f>
        <v>2000</v>
      </c>
      <c r="T555" s="51">
        <f>2000000/1000</f>
        <v>2000</v>
      </c>
      <c r="U555" s="1420"/>
      <c r="V555" s="1421"/>
      <c r="W555" s="1422"/>
    </row>
    <row r="556" spans="2:28" ht="16.5" thickBot="1" x14ac:dyDescent="0.3">
      <c r="B556" s="1204"/>
      <c r="C556" s="1259"/>
      <c r="D556" s="694"/>
      <c r="E556" s="1209"/>
      <c r="F556" s="1201"/>
      <c r="G556" s="1199"/>
      <c r="H556" s="1209"/>
      <c r="I556" s="1204"/>
      <c r="J556" s="1204"/>
      <c r="K556" s="1204"/>
      <c r="L556" s="1204"/>
      <c r="M556" s="636" t="s">
        <v>123</v>
      </c>
      <c r="N556" s="550"/>
      <c r="O556" s="681">
        <f t="shared" ref="O556:Q557" si="11">O560+O564+O568+O572+O576</f>
        <v>0</v>
      </c>
      <c r="P556" s="552">
        <f t="shared" si="11"/>
        <v>0</v>
      </c>
      <c r="Q556" s="552">
        <f t="shared" si="11"/>
        <v>0</v>
      </c>
      <c r="U556" s="1423"/>
      <c r="V556" s="1424"/>
      <c r="W556" s="1425"/>
    </row>
    <row r="557" spans="2:28" ht="16.5" thickBot="1" x14ac:dyDescent="0.3">
      <c r="B557" s="1204"/>
      <c r="C557" s="1259"/>
      <c r="D557" s="694"/>
      <c r="E557" s="1209"/>
      <c r="F557" s="1201"/>
      <c r="G557" s="1199"/>
      <c r="H557" s="1209"/>
      <c r="I557" s="1204"/>
      <c r="J557" s="1204"/>
      <c r="K557" s="1204"/>
      <c r="L557" s="1204"/>
      <c r="M557" s="672" t="s">
        <v>124</v>
      </c>
      <c r="N557" s="550"/>
      <c r="O557" s="551">
        <f t="shared" si="11"/>
        <v>4143.9040000000005</v>
      </c>
      <c r="P557" s="552">
        <f t="shared" si="11"/>
        <v>2000</v>
      </c>
      <c r="Q557" s="549">
        <f t="shared" si="11"/>
        <v>2000</v>
      </c>
      <c r="R557" s="777">
        <f>R555-O555</f>
        <v>0</v>
      </c>
      <c r="S557" s="777">
        <f>S555-P555</f>
        <v>0</v>
      </c>
      <c r="T557" s="777">
        <f>T555-Q555</f>
        <v>0</v>
      </c>
      <c r="U557" s="1423"/>
      <c r="V557" s="1424"/>
      <c r="W557" s="1425"/>
    </row>
    <row r="558" spans="2:28" ht="16.5" thickBot="1" x14ac:dyDescent="0.3">
      <c r="B558" s="1205"/>
      <c r="C558" s="1260"/>
      <c r="D558" s="704"/>
      <c r="E558" s="1210"/>
      <c r="F558" s="1202"/>
      <c r="G558" s="1208"/>
      <c r="H558" s="1210"/>
      <c r="I558" s="1205"/>
      <c r="J558" s="1205"/>
      <c r="K558" s="1205"/>
      <c r="L558" s="1205"/>
      <c r="M558" s="547" t="s">
        <v>745</v>
      </c>
      <c r="N558" s="563"/>
      <c r="O558" s="681">
        <v>0</v>
      </c>
      <c r="P558" s="676">
        <v>0</v>
      </c>
      <c r="Q558" s="676">
        <v>0</v>
      </c>
      <c r="U558" s="1426"/>
      <c r="V558" s="1427"/>
      <c r="W558" s="1428"/>
    </row>
    <row r="559" spans="2:28" ht="16.5" thickBot="1" x14ac:dyDescent="0.3">
      <c r="B559" s="1206" t="s">
        <v>173</v>
      </c>
      <c r="C559" s="1215">
        <v>67712</v>
      </c>
      <c r="D559" s="654">
        <v>27300364</v>
      </c>
      <c r="E559" s="1207" t="s">
        <v>192</v>
      </c>
      <c r="F559" s="1207" t="s">
        <v>309</v>
      </c>
      <c r="G559" s="1207" t="s">
        <v>221</v>
      </c>
      <c r="H559" s="1207" t="s">
        <v>241</v>
      </c>
      <c r="I559" s="1207" t="s">
        <v>1036</v>
      </c>
      <c r="J559" s="1207" t="s">
        <v>528</v>
      </c>
      <c r="K559" s="1207" t="s">
        <v>1042</v>
      </c>
      <c r="L559" s="1207" t="s">
        <v>1043</v>
      </c>
      <c r="M559" s="1207" t="s">
        <v>122</v>
      </c>
      <c r="N559" s="1207"/>
      <c r="O559" s="544">
        <f>O560+O561+O562</f>
        <v>1824</v>
      </c>
      <c r="P559" s="544">
        <f>P560+P561+P562</f>
        <v>500</v>
      </c>
      <c r="Q559" s="675">
        <f>Q560+Q561+Q562</f>
        <v>500</v>
      </c>
    </row>
    <row r="560" spans="2:28" ht="16.5" thickBot="1" x14ac:dyDescent="0.3">
      <c r="B560" s="1204"/>
      <c r="C560" s="1192"/>
      <c r="D560" s="555"/>
      <c r="E560" s="1199"/>
      <c r="F560" s="1199"/>
      <c r="G560" s="1199"/>
      <c r="H560" s="1199"/>
      <c r="I560" s="1199"/>
      <c r="J560" s="1199"/>
      <c r="K560" s="1199"/>
      <c r="L560" s="1199"/>
      <c r="M560" s="1199" t="s">
        <v>123</v>
      </c>
      <c r="N560" s="1199"/>
      <c r="O560" s="544">
        <v>0</v>
      </c>
      <c r="P560" s="544">
        <v>0</v>
      </c>
      <c r="Q560" s="552">
        <v>0</v>
      </c>
    </row>
    <row r="561" spans="2:22" ht="16.5" thickBot="1" x14ac:dyDescent="0.3">
      <c r="B561" s="1204"/>
      <c r="C561" s="1192"/>
      <c r="D561" s="555"/>
      <c r="E561" s="1199"/>
      <c r="F561" s="1199"/>
      <c r="G561" s="1199"/>
      <c r="H561" s="1199"/>
      <c r="I561" s="1199"/>
      <c r="J561" s="1199"/>
      <c r="K561" s="1199"/>
      <c r="L561" s="1199"/>
      <c r="M561" s="1199" t="s">
        <v>124</v>
      </c>
      <c r="N561" s="1199"/>
      <c r="O561" s="544">
        <v>1824</v>
      </c>
      <c r="P561" s="544">
        <v>500</v>
      </c>
      <c r="Q561" s="675">
        <v>500</v>
      </c>
      <c r="V561" s="51">
        <v>1824</v>
      </c>
    </row>
    <row r="562" spans="2:22" ht="16.5" thickBot="1" x14ac:dyDescent="0.3">
      <c r="B562" s="1205"/>
      <c r="C562" s="1216"/>
      <c r="D562" s="558"/>
      <c r="E562" s="1208"/>
      <c r="F562" s="1208"/>
      <c r="G562" s="1208"/>
      <c r="H562" s="1208"/>
      <c r="I562" s="1208"/>
      <c r="J562" s="1208"/>
      <c r="K562" s="1208"/>
      <c r="L562" s="1208"/>
      <c r="M562" s="1208" t="s">
        <v>745</v>
      </c>
      <c r="N562" s="1208"/>
      <c r="O562" s="551">
        <v>0</v>
      </c>
      <c r="P562" s="551">
        <v>0</v>
      </c>
      <c r="Q562" s="552">
        <v>0</v>
      </c>
    </row>
    <row r="563" spans="2:22" ht="16.5" thickBot="1" x14ac:dyDescent="0.3">
      <c r="B563" s="1206" t="s">
        <v>173</v>
      </c>
      <c r="C563" s="1215">
        <v>67712</v>
      </c>
      <c r="D563" s="654">
        <v>27300364</v>
      </c>
      <c r="E563" s="1207" t="s">
        <v>192</v>
      </c>
      <c r="F563" s="1207" t="s">
        <v>323</v>
      </c>
      <c r="G563" s="1207" t="s">
        <v>221</v>
      </c>
      <c r="H563" s="1207" t="s">
        <v>241</v>
      </c>
      <c r="I563" s="1207" t="s">
        <v>1037</v>
      </c>
      <c r="J563" s="1207" t="s">
        <v>528</v>
      </c>
      <c r="K563" s="1207" t="s">
        <v>1037</v>
      </c>
      <c r="L563" s="1207" t="s">
        <v>1037</v>
      </c>
      <c r="M563" s="1207" t="s">
        <v>122</v>
      </c>
      <c r="N563" s="1207"/>
      <c r="O563" s="544">
        <f>O564+O565+O566</f>
        <v>1166</v>
      </c>
      <c r="P563" s="544">
        <f>P564+P565+P566</f>
        <v>670</v>
      </c>
      <c r="Q563" s="675">
        <f>Q564+Q565+Q566</f>
        <v>670</v>
      </c>
    </row>
    <row r="564" spans="2:22" ht="16.5" thickBot="1" x14ac:dyDescent="0.3">
      <c r="B564" s="1204"/>
      <c r="C564" s="1192"/>
      <c r="D564" s="555"/>
      <c r="E564" s="1199"/>
      <c r="F564" s="1199"/>
      <c r="G564" s="1199"/>
      <c r="H564" s="1199"/>
      <c r="I564" s="1199"/>
      <c r="J564" s="1199"/>
      <c r="K564" s="1199"/>
      <c r="L564" s="1199"/>
      <c r="M564" s="1199" t="s">
        <v>123</v>
      </c>
      <c r="N564" s="1199"/>
      <c r="O564" s="544">
        <v>0</v>
      </c>
      <c r="P564" s="544">
        <v>0</v>
      </c>
      <c r="Q564" s="552">
        <v>0</v>
      </c>
    </row>
    <row r="565" spans="2:22" ht="16.5" thickBot="1" x14ac:dyDescent="0.3">
      <c r="B565" s="1204"/>
      <c r="C565" s="1192"/>
      <c r="D565" s="555"/>
      <c r="E565" s="1199"/>
      <c r="F565" s="1199"/>
      <c r="G565" s="1199"/>
      <c r="H565" s="1199"/>
      <c r="I565" s="1199"/>
      <c r="J565" s="1199"/>
      <c r="K565" s="1199"/>
      <c r="L565" s="1199"/>
      <c r="M565" s="1199" t="s">
        <v>124</v>
      </c>
      <c r="N565" s="1199"/>
      <c r="O565" s="544">
        <v>1166</v>
      </c>
      <c r="P565" s="544">
        <v>670</v>
      </c>
      <c r="Q565" s="675">
        <v>670</v>
      </c>
      <c r="V565" s="51">
        <v>1166</v>
      </c>
    </row>
    <row r="566" spans="2:22" ht="16.5" thickBot="1" x14ac:dyDescent="0.3">
      <c r="B566" s="1205"/>
      <c r="C566" s="1216"/>
      <c r="D566" s="558"/>
      <c r="E566" s="1208"/>
      <c r="F566" s="1208"/>
      <c r="G566" s="1208"/>
      <c r="H566" s="1208"/>
      <c r="I566" s="1208"/>
      <c r="J566" s="1208"/>
      <c r="K566" s="1208"/>
      <c r="L566" s="1208"/>
      <c r="M566" s="1208" t="s">
        <v>745</v>
      </c>
      <c r="N566" s="1208"/>
      <c r="O566" s="551">
        <v>0</v>
      </c>
      <c r="P566" s="551">
        <v>0</v>
      </c>
      <c r="Q566" s="552">
        <v>0</v>
      </c>
    </row>
    <row r="567" spans="2:22" ht="16.5" thickBot="1" x14ac:dyDescent="0.3">
      <c r="B567" s="1206" t="s">
        <v>173</v>
      </c>
      <c r="C567" s="1215">
        <v>67712</v>
      </c>
      <c r="D567" s="654">
        <v>27300364</v>
      </c>
      <c r="E567" s="1207" t="s">
        <v>192</v>
      </c>
      <c r="F567" s="1207" t="s">
        <v>1034</v>
      </c>
      <c r="G567" s="1207" t="s">
        <v>221</v>
      </c>
      <c r="H567" s="1207" t="s">
        <v>241</v>
      </c>
      <c r="I567" s="1207" t="s">
        <v>1038</v>
      </c>
      <c r="J567" s="1207" t="s">
        <v>528</v>
      </c>
      <c r="K567" s="1207" t="s">
        <v>1038</v>
      </c>
      <c r="L567" s="1207" t="s">
        <v>1038</v>
      </c>
      <c r="M567" s="1207" t="s">
        <v>122</v>
      </c>
      <c r="N567" s="1207"/>
      <c r="O567" s="544">
        <f>O568+O569+O570</f>
        <v>200</v>
      </c>
      <c r="P567" s="544">
        <f>P568+P569+P570</f>
        <v>0</v>
      </c>
      <c r="Q567" s="675">
        <f>Q568+Q569+Q570</f>
        <v>0</v>
      </c>
    </row>
    <row r="568" spans="2:22" ht="16.5" thickBot="1" x14ac:dyDescent="0.3">
      <c r="B568" s="1204"/>
      <c r="C568" s="1192"/>
      <c r="D568" s="555"/>
      <c r="E568" s="1199"/>
      <c r="F568" s="1199"/>
      <c r="G568" s="1199"/>
      <c r="H568" s="1199"/>
      <c r="I568" s="1199"/>
      <c r="J568" s="1199"/>
      <c r="K568" s="1199"/>
      <c r="L568" s="1199"/>
      <c r="M568" s="1199" t="s">
        <v>123</v>
      </c>
      <c r="N568" s="1199"/>
      <c r="O568" s="544">
        <v>0</v>
      </c>
      <c r="P568" s="544">
        <v>0</v>
      </c>
      <c r="Q568" s="552">
        <v>0</v>
      </c>
    </row>
    <row r="569" spans="2:22" ht="16.5" thickBot="1" x14ac:dyDescent="0.3">
      <c r="B569" s="1204"/>
      <c r="C569" s="1192"/>
      <c r="D569" s="555"/>
      <c r="E569" s="1199"/>
      <c r="F569" s="1199"/>
      <c r="G569" s="1199"/>
      <c r="H569" s="1199"/>
      <c r="I569" s="1199"/>
      <c r="J569" s="1199"/>
      <c r="K569" s="1199"/>
      <c r="L569" s="1199"/>
      <c r="M569" s="1199" t="s">
        <v>124</v>
      </c>
      <c r="N569" s="1199"/>
      <c r="O569" s="544">
        <v>200</v>
      </c>
      <c r="P569" s="544">
        <v>0</v>
      </c>
      <c r="Q569" s="675">
        <v>0</v>
      </c>
      <c r="V569" s="51">
        <v>200</v>
      </c>
    </row>
    <row r="570" spans="2:22" ht="16.5" thickBot="1" x14ac:dyDescent="0.3">
      <c r="B570" s="1205"/>
      <c r="C570" s="1216"/>
      <c r="D570" s="558"/>
      <c r="E570" s="1208"/>
      <c r="F570" s="1208"/>
      <c r="G570" s="1208"/>
      <c r="H570" s="1208"/>
      <c r="I570" s="1208"/>
      <c r="J570" s="1208"/>
      <c r="K570" s="1208"/>
      <c r="L570" s="1208"/>
      <c r="M570" s="1208" t="s">
        <v>745</v>
      </c>
      <c r="N570" s="1208"/>
      <c r="O570" s="551">
        <v>0</v>
      </c>
      <c r="P570" s="551">
        <v>0</v>
      </c>
      <c r="Q570" s="552">
        <v>0</v>
      </c>
    </row>
    <row r="571" spans="2:22" ht="16.5" thickBot="1" x14ac:dyDescent="0.3">
      <c r="B571" s="1206" t="s">
        <v>173</v>
      </c>
      <c r="C571" s="1215">
        <v>67712</v>
      </c>
      <c r="D571" s="654">
        <v>27300364</v>
      </c>
      <c r="E571" s="1207" t="s">
        <v>192</v>
      </c>
      <c r="F571" s="1207" t="s">
        <v>341</v>
      </c>
      <c r="G571" s="1207" t="s">
        <v>221</v>
      </c>
      <c r="H571" s="1207" t="s">
        <v>241</v>
      </c>
      <c r="I571" s="1207" t="s">
        <v>1039</v>
      </c>
      <c r="J571" s="1207" t="s">
        <v>528</v>
      </c>
      <c r="K571" s="1207" t="s">
        <v>1039</v>
      </c>
      <c r="L571" s="1207" t="s">
        <v>1039</v>
      </c>
      <c r="M571" s="1207" t="s">
        <v>122</v>
      </c>
      <c r="N571" s="1207"/>
      <c r="O571" s="544">
        <f>O572+O573+O574</f>
        <v>823.904</v>
      </c>
      <c r="P571" s="544">
        <f>P572+P573+P574</f>
        <v>700</v>
      </c>
      <c r="Q571" s="675">
        <f>Q572+Q573+Q574</f>
        <v>700</v>
      </c>
    </row>
    <row r="572" spans="2:22" ht="16.5" thickBot="1" x14ac:dyDescent="0.3">
      <c r="B572" s="1204"/>
      <c r="C572" s="1192"/>
      <c r="D572" s="555"/>
      <c r="E572" s="1199"/>
      <c r="F572" s="1199"/>
      <c r="G572" s="1199"/>
      <c r="H572" s="1199"/>
      <c r="I572" s="1199"/>
      <c r="J572" s="1199"/>
      <c r="K572" s="1199"/>
      <c r="L572" s="1199"/>
      <c r="M572" s="1199" t="s">
        <v>123</v>
      </c>
      <c r="N572" s="1199"/>
      <c r="O572" s="544">
        <v>0</v>
      </c>
      <c r="P572" s="544">
        <v>0</v>
      </c>
      <c r="Q572" s="552">
        <v>0</v>
      </c>
    </row>
    <row r="573" spans="2:22" ht="16.5" thickBot="1" x14ac:dyDescent="0.3">
      <c r="B573" s="1204"/>
      <c r="C573" s="1192"/>
      <c r="D573" s="555"/>
      <c r="E573" s="1199"/>
      <c r="F573" s="1199"/>
      <c r="G573" s="1199"/>
      <c r="H573" s="1199"/>
      <c r="I573" s="1199"/>
      <c r="J573" s="1199"/>
      <c r="K573" s="1199"/>
      <c r="L573" s="1199"/>
      <c r="M573" s="1199" t="s">
        <v>124</v>
      </c>
      <c r="N573" s="1199"/>
      <c r="O573" s="544">
        <v>823.904</v>
      </c>
      <c r="P573" s="544">
        <v>700</v>
      </c>
      <c r="Q573" s="675">
        <v>700</v>
      </c>
      <c r="V573" s="51">
        <v>823.904</v>
      </c>
    </row>
    <row r="574" spans="2:22" ht="16.5" thickBot="1" x14ac:dyDescent="0.3">
      <c r="B574" s="1205"/>
      <c r="C574" s="1216"/>
      <c r="D574" s="558"/>
      <c r="E574" s="1208"/>
      <c r="F574" s="1208"/>
      <c r="G574" s="1208"/>
      <c r="H574" s="1208"/>
      <c r="I574" s="1208"/>
      <c r="J574" s="1208"/>
      <c r="K574" s="1208"/>
      <c r="L574" s="1208"/>
      <c r="M574" s="1208" t="s">
        <v>745</v>
      </c>
      <c r="N574" s="1208"/>
      <c r="O574" s="551">
        <v>0</v>
      </c>
      <c r="P574" s="551">
        <v>0</v>
      </c>
      <c r="Q574" s="552">
        <v>0</v>
      </c>
    </row>
    <row r="575" spans="2:22" ht="16.5" thickBot="1" x14ac:dyDescent="0.3">
      <c r="B575" s="1206" t="s">
        <v>173</v>
      </c>
      <c r="C575" s="1215">
        <v>67712</v>
      </c>
      <c r="D575" s="682">
        <v>27300364</v>
      </c>
      <c r="E575" s="1207" t="s">
        <v>192</v>
      </c>
      <c r="F575" s="1207" t="s">
        <v>807</v>
      </c>
      <c r="G575" s="1207" t="s">
        <v>221</v>
      </c>
      <c r="H575" s="1207" t="s">
        <v>241</v>
      </c>
      <c r="I575" s="1207" t="s">
        <v>1038</v>
      </c>
      <c r="J575" s="1207" t="s">
        <v>528</v>
      </c>
      <c r="K575" s="1207" t="s">
        <v>1038</v>
      </c>
      <c r="L575" s="1207" t="s">
        <v>1038</v>
      </c>
      <c r="M575" s="1207" t="s">
        <v>122</v>
      </c>
      <c r="N575" s="1207"/>
      <c r="O575" s="544">
        <f>O576+O577+O578</f>
        <v>130</v>
      </c>
      <c r="P575" s="561">
        <f>P576+P577+P578</f>
        <v>130</v>
      </c>
      <c r="Q575" s="562">
        <f>Q576+Q577+Q578</f>
        <v>130</v>
      </c>
    </row>
    <row r="576" spans="2:22" ht="16.5" thickBot="1" x14ac:dyDescent="0.3">
      <c r="B576" s="1204"/>
      <c r="C576" s="1192"/>
      <c r="D576" s="555"/>
      <c r="E576" s="1199"/>
      <c r="F576" s="1199"/>
      <c r="G576" s="1199"/>
      <c r="H576" s="1199"/>
      <c r="I576" s="1199"/>
      <c r="J576" s="1199"/>
      <c r="K576" s="1199"/>
      <c r="L576" s="1199"/>
      <c r="M576" s="1199" t="s">
        <v>123</v>
      </c>
      <c r="N576" s="1199"/>
      <c r="O576" s="544">
        <v>0</v>
      </c>
      <c r="P576" s="551">
        <v>0</v>
      </c>
      <c r="Q576" s="552">
        <v>0</v>
      </c>
      <c r="V576" s="51">
        <v>130</v>
      </c>
    </row>
    <row r="577" spans="2:29" ht="16.5" thickBot="1" x14ac:dyDescent="0.3">
      <c r="B577" s="1204"/>
      <c r="C577" s="1192"/>
      <c r="D577" s="555"/>
      <c r="E577" s="1199"/>
      <c r="F577" s="1199"/>
      <c r="G577" s="1199"/>
      <c r="H577" s="1199"/>
      <c r="I577" s="1199"/>
      <c r="J577" s="1199"/>
      <c r="K577" s="1199"/>
      <c r="L577" s="1199"/>
      <c r="M577" s="1199" t="s">
        <v>124</v>
      </c>
      <c r="N577" s="1199"/>
      <c r="O577" s="544">
        <v>130</v>
      </c>
      <c r="P577" s="544">
        <v>130</v>
      </c>
      <c r="Q577" s="675">
        <v>130</v>
      </c>
    </row>
    <row r="578" spans="2:29" ht="16.5" thickBot="1" x14ac:dyDescent="0.3">
      <c r="B578" s="1204"/>
      <c r="C578" s="1192"/>
      <c r="D578" s="680"/>
      <c r="E578" s="1199"/>
      <c r="F578" s="1208"/>
      <c r="G578" s="1208"/>
      <c r="H578" s="1208"/>
      <c r="I578" s="1208"/>
      <c r="J578" s="1208"/>
      <c r="K578" s="1208"/>
      <c r="L578" s="1208"/>
      <c r="M578" s="1208" t="s">
        <v>745</v>
      </c>
      <c r="N578" s="1208"/>
      <c r="O578" s="551">
        <v>0</v>
      </c>
      <c r="P578" s="544">
        <v>0</v>
      </c>
      <c r="Q578" s="675">
        <v>0</v>
      </c>
    </row>
    <row r="579" spans="2:29" ht="16.5" thickBot="1" x14ac:dyDescent="0.3">
      <c r="B579" s="1206" t="s">
        <v>173</v>
      </c>
      <c r="C579" s="1308">
        <v>67711</v>
      </c>
      <c r="D579" s="704" t="s">
        <v>288</v>
      </c>
      <c r="E579" s="1232" t="s">
        <v>505</v>
      </c>
      <c r="F579" s="1200" t="s">
        <v>1056</v>
      </c>
      <c r="G579" s="1207" t="s">
        <v>116</v>
      </c>
      <c r="H579" s="1232" t="s">
        <v>241</v>
      </c>
      <c r="I579" s="1206" t="s">
        <v>1064</v>
      </c>
      <c r="J579" s="1206" t="s">
        <v>528</v>
      </c>
      <c r="K579" s="1232">
        <v>23067</v>
      </c>
      <c r="L579" s="1206" t="s">
        <v>1064</v>
      </c>
      <c r="M579" s="542" t="s">
        <v>122</v>
      </c>
      <c r="N579" s="549"/>
      <c r="O579" s="797">
        <f>O580+O581+O582</f>
        <v>75628.23</v>
      </c>
      <c r="P579" s="552">
        <f>P580+P581+P582</f>
        <v>78996.37</v>
      </c>
      <c r="Q579" s="552">
        <f>Q580+Q581+Q582</f>
        <v>82431.98</v>
      </c>
      <c r="R579" s="51">
        <f>75628231/1000</f>
        <v>75628.231</v>
      </c>
      <c r="S579" s="51">
        <f>78996371/1000</f>
        <v>78996.370999999999</v>
      </c>
      <c r="T579" s="51">
        <f>82431981/1000</f>
        <v>82431.981</v>
      </c>
    </row>
    <row r="580" spans="2:29" ht="16.5" thickBot="1" x14ac:dyDescent="0.3">
      <c r="B580" s="1204"/>
      <c r="C580" s="1259"/>
      <c r="D580" s="694"/>
      <c r="E580" s="1209"/>
      <c r="F580" s="1201"/>
      <c r="G580" s="1199"/>
      <c r="H580" s="1209"/>
      <c r="I580" s="1204"/>
      <c r="J580" s="1204"/>
      <c r="K580" s="1209"/>
      <c r="L580" s="1204"/>
      <c r="M580" s="636" t="s">
        <v>123</v>
      </c>
      <c r="N580" s="550"/>
      <c r="O580" s="681">
        <v>0</v>
      </c>
      <c r="P580" s="552">
        <v>0</v>
      </c>
      <c r="Q580" s="552">
        <v>0</v>
      </c>
    </row>
    <row r="581" spans="2:29" ht="16.5" thickBot="1" x14ac:dyDescent="0.3">
      <c r="B581" s="1204"/>
      <c r="C581" s="1259"/>
      <c r="D581" s="694"/>
      <c r="E581" s="1209"/>
      <c r="F581" s="1201"/>
      <c r="G581" s="1199"/>
      <c r="H581" s="1209"/>
      <c r="I581" s="1204"/>
      <c r="J581" s="1204"/>
      <c r="K581" s="1209"/>
      <c r="L581" s="1204"/>
      <c r="M581" s="672" t="s">
        <v>124</v>
      </c>
      <c r="N581" s="550"/>
      <c r="O581" s="551">
        <f>O585</f>
        <v>75628.23</v>
      </c>
      <c r="P581" s="551">
        <f>P585</f>
        <v>78996.37</v>
      </c>
      <c r="Q581" s="552">
        <f>Q585</f>
        <v>82431.98</v>
      </c>
      <c r="R581" s="51">
        <f>R579-O579</f>
        <v>1.0000000038417056E-3</v>
      </c>
      <c r="S581" s="51">
        <f>S579-P579</f>
        <v>1.0000000038417056E-3</v>
      </c>
      <c r="T581" s="51">
        <f>T579-Q579</f>
        <v>1.0000000038417056E-3</v>
      </c>
      <c r="V581" s="51">
        <f>I583+I584+I585</f>
        <v>23067</v>
      </c>
      <c r="W581" s="51">
        <f>I579-V581</f>
        <v>0</v>
      </c>
    </row>
    <row r="582" spans="2:29" ht="16.5" thickBot="1" x14ac:dyDescent="0.3">
      <c r="B582" s="1205"/>
      <c r="C582" s="1260"/>
      <c r="D582" s="704"/>
      <c r="E582" s="1210"/>
      <c r="F582" s="1202"/>
      <c r="G582" s="1208"/>
      <c r="H582" s="1210"/>
      <c r="I582" s="1205"/>
      <c r="J582" s="1205"/>
      <c r="K582" s="1210"/>
      <c r="L582" s="1205"/>
      <c r="M582" s="547" t="s">
        <v>745</v>
      </c>
      <c r="N582" s="563"/>
      <c r="O582" s="681">
        <v>0</v>
      </c>
      <c r="P582" s="676">
        <v>0</v>
      </c>
      <c r="Q582" s="676">
        <v>0</v>
      </c>
    </row>
    <row r="583" spans="2:29" ht="93" customHeight="1" thickBot="1" x14ac:dyDescent="0.3">
      <c r="B583" s="547" t="s">
        <v>173</v>
      </c>
      <c r="C583" s="704">
        <v>67711</v>
      </c>
      <c r="D583" s="636" t="s">
        <v>288</v>
      </c>
      <c r="E583" s="636" t="s">
        <v>505</v>
      </c>
      <c r="F583" s="662" t="s">
        <v>357</v>
      </c>
      <c r="G583" s="738" t="s">
        <v>256</v>
      </c>
      <c r="H583" s="546" t="s">
        <v>241</v>
      </c>
      <c r="I583" s="636">
        <f>15350</f>
        <v>15350</v>
      </c>
      <c r="J583" s="1206" t="s">
        <v>528</v>
      </c>
      <c r="K583" s="636">
        <f>15350</f>
        <v>15350</v>
      </c>
      <c r="L583" s="636">
        <f>15350</f>
        <v>15350</v>
      </c>
      <c r="M583" s="655" t="s">
        <v>122</v>
      </c>
      <c r="N583" s="1288">
        <v>64789.550999999999</v>
      </c>
      <c r="O583" s="698">
        <f>O584+O585+O586</f>
        <v>75628.23</v>
      </c>
      <c r="P583" s="698">
        <f>P584+P585+P586</f>
        <v>78996.37</v>
      </c>
      <c r="Q583" s="656">
        <f>Q584+Q585+Q586</f>
        <v>82431.98</v>
      </c>
    </row>
    <row r="584" spans="2:29" ht="60.75" thickBot="1" x14ac:dyDescent="0.3">
      <c r="B584" s="687" t="s">
        <v>173</v>
      </c>
      <c r="C584" s="704">
        <v>67711</v>
      </c>
      <c r="D584" s="672" t="s">
        <v>288</v>
      </c>
      <c r="E584" s="672" t="s">
        <v>505</v>
      </c>
      <c r="F584" s="663" t="s">
        <v>358</v>
      </c>
      <c r="G584" s="749" t="s">
        <v>256</v>
      </c>
      <c r="H584" s="684" t="s">
        <v>241</v>
      </c>
      <c r="I584" s="693">
        <v>865</v>
      </c>
      <c r="J584" s="1204"/>
      <c r="K584" s="693">
        <v>865</v>
      </c>
      <c r="L584" s="693">
        <v>865</v>
      </c>
      <c r="M584" s="644" t="s">
        <v>123</v>
      </c>
      <c r="N584" s="1289"/>
      <c r="O584" s="699">
        <v>0</v>
      </c>
      <c r="P584" s="699">
        <v>0</v>
      </c>
      <c r="Q584" s="597">
        <v>0</v>
      </c>
    </row>
    <row r="585" spans="2:29" ht="108.75" thickBot="1" x14ac:dyDescent="0.3">
      <c r="B585" s="584" t="s">
        <v>173</v>
      </c>
      <c r="C585" s="704">
        <v>67711</v>
      </c>
      <c r="D585" s="636" t="s">
        <v>288</v>
      </c>
      <c r="E585" s="636" t="s">
        <v>505</v>
      </c>
      <c r="F585" s="662" t="s">
        <v>359</v>
      </c>
      <c r="G585" s="545" t="s">
        <v>256</v>
      </c>
      <c r="H585" s="546" t="s">
        <v>241</v>
      </c>
      <c r="I585" s="636">
        <f>6852</f>
        <v>6852</v>
      </c>
      <c r="J585" s="1204"/>
      <c r="K585" s="636">
        <f>6852</f>
        <v>6852</v>
      </c>
      <c r="L585" s="636">
        <f>6852</f>
        <v>6852</v>
      </c>
      <c r="M585" s="644" t="s">
        <v>124</v>
      </c>
      <c r="N585" s="1289"/>
      <c r="O585" s="699">
        <v>75628.23</v>
      </c>
      <c r="P585" s="699">
        <v>78996.37</v>
      </c>
      <c r="Q585" s="597">
        <v>82431.98</v>
      </c>
    </row>
    <row r="586" spans="2:29" s="778" customFormat="1" ht="84.75" hidden="1" thickBot="1" x14ac:dyDescent="0.3">
      <c r="B586" s="584" t="s">
        <v>173</v>
      </c>
      <c r="C586" s="704">
        <v>67711</v>
      </c>
      <c r="D586" s="689" t="s">
        <v>288</v>
      </c>
      <c r="E586" s="689" t="s">
        <v>505</v>
      </c>
      <c r="F586" s="660" t="s">
        <v>360</v>
      </c>
      <c r="G586" s="697" t="s">
        <v>256</v>
      </c>
      <c r="H586" s="661" t="s">
        <v>241</v>
      </c>
      <c r="I586" s="696">
        <v>1530</v>
      </c>
      <c r="J586" s="1204"/>
      <c r="K586" s="555">
        <v>1538</v>
      </c>
      <c r="L586" s="594">
        <v>1551</v>
      </c>
      <c r="M586" s="1310" t="s">
        <v>745</v>
      </c>
      <c r="N586" s="1289"/>
      <c r="O586" s="1211">
        <v>0</v>
      </c>
      <c r="P586" s="1211">
        <v>0</v>
      </c>
      <c r="Q586" s="1213">
        <v>0</v>
      </c>
      <c r="R586" s="745"/>
      <c r="S586" s="745"/>
      <c r="T586" s="745"/>
      <c r="U586" s="745"/>
      <c r="V586" s="745"/>
      <c r="W586" s="745"/>
      <c r="X586" s="745"/>
      <c r="Y586" s="745"/>
      <c r="Z586" s="786"/>
      <c r="AA586" s="786"/>
      <c r="AB586" s="786"/>
      <c r="AC586" s="745"/>
    </row>
    <row r="587" spans="2:29" s="778" customFormat="1" ht="51.75" hidden="1" customHeight="1" thickBot="1" x14ac:dyDescent="0.3">
      <c r="B587" s="586" t="s">
        <v>173</v>
      </c>
      <c r="C587" s="704">
        <v>67711</v>
      </c>
      <c r="D587" s="628" t="s">
        <v>288</v>
      </c>
      <c r="E587" s="628" t="s">
        <v>505</v>
      </c>
      <c r="F587" s="736" t="s">
        <v>361</v>
      </c>
      <c r="G587" s="737" t="s">
        <v>256</v>
      </c>
      <c r="H587" s="658" t="s">
        <v>241</v>
      </c>
      <c r="I587" s="592">
        <v>2968</v>
      </c>
      <c r="J587" s="1205"/>
      <c r="K587" s="558">
        <v>2981</v>
      </c>
      <c r="L587" s="592">
        <v>1994</v>
      </c>
      <c r="M587" s="1311"/>
      <c r="N587" s="1290"/>
      <c r="O587" s="1212"/>
      <c r="P587" s="1212"/>
      <c r="Q587" s="1214"/>
      <c r="R587" s="745"/>
      <c r="S587" s="745"/>
      <c r="T587" s="745"/>
      <c r="U587" s="745"/>
      <c r="V587" s="745"/>
      <c r="W587" s="745"/>
      <c r="X587" s="745"/>
      <c r="Y587" s="745"/>
      <c r="Z587" s="786"/>
      <c r="AA587" s="786"/>
      <c r="AB587" s="786"/>
      <c r="AC587" s="745"/>
    </row>
    <row r="588" spans="2:29" s="778" customFormat="1" ht="16.5" hidden="1" thickBot="1" x14ac:dyDescent="0.3">
      <c r="B588" s="1204" t="s">
        <v>173</v>
      </c>
      <c r="C588" s="1199" t="s">
        <v>289</v>
      </c>
      <c r="D588" s="689" t="s">
        <v>288</v>
      </c>
      <c r="E588" s="1209" t="s">
        <v>116</v>
      </c>
      <c r="F588" s="1201" t="s">
        <v>290</v>
      </c>
      <c r="G588" s="1201" t="s">
        <v>257</v>
      </c>
      <c r="H588" s="1204" t="s">
        <v>242</v>
      </c>
      <c r="I588" s="1199" t="s">
        <v>607</v>
      </c>
      <c r="J588" s="1204" t="s">
        <v>462</v>
      </c>
      <c r="K588" s="1199" t="s">
        <v>607</v>
      </c>
      <c r="L588" s="1192" t="s">
        <v>607</v>
      </c>
      <c r="M588" s="672" t="s">
        <v>122</v>
      </c>
      <c r="N588" s="550"/>
      <c r="O588" s="561">
        <f>O589+O590+O591</f>
        <v>0</v>
      </c>
      <c r="P588" s="561">
        <f>P589+P590+P591</f>
        <v>0</v>
      </c>
      <c r="Q588" s="562">
        <f>Q589+Q590+Q591</f>
        <v>0</v>
      </c>
      <c r="R588" s="745"/>
      <c r="S588" s="745"/>
      <c r="T588" s="745"/>
      <c r="U588" s="745"/>
      <c r="V588" s="745"/>
      <c r="W588" s="745"/>
      <c r="X588" s="745"/>
      <c r="Y588" s="745"/>
      <c r="Z588" s="786"/>
      <c r="AA588" s="786"/>
      <c r="AB588" s="786"/>
      <c r="AC588" s="745"/>
    </row>
    <row r="589" spans="2:29" s="778" customFormat="1" ht="16.5" hidden="1" thickBot="1" x14ac:dyDescent="0.3">
      <c r="B589" s="1204"/>
      <c r="C589" s="1199"/>
      <c r="D589" s="609"/>
      <c r="E589" s="1209"/>
      <c r="F589" s="1201"/>
      <c r="G589" s="1201"/>
      <c r="H589" s="1204"/>
      <c r="I589" s="1199"/>
      <c r="J589" s="1204"/>
      <c r="K589" s="1199"/>
      <c r="L589" s="1192"/>
      <c r="M589" s="636" t="s">
        <v>123</v>
      </c>
      <c r="N589" s="549"/>
      <c r="O589" s="544">
        <v>0</v>
      </c>
      <c r="P589" s="544">
        <v>0</v>
      </c>
      <c r="Q589" s="675">
        <v>0</v>
      </c>
      <c r="R589" s="745"/>
      <c r="S589" s="745"/>
      <c r="T589" s="745"/>
      <c r="U589" s="745"/>
      <c r="V589" s="745"/>
      <c r="W589" s="745"/>
      <c r="X589" s="745"/>
      <c r="Y589" s="745"/>
      <c r="Z589" s="786"/>
      <c r="AA589" s="786"/>
      <c r="AB589" s="786"/>
      <c r="AC589" s="745"/>
    </row>
    <row r="590" spans="2:29" s="778" customFormat="1" ht="16.5" hidden="1" thickBot="1" x14ac:dyDescent="0.3">
      <c r="B590" s="1204"/>
      <c r="C590" s="1199"/>
      <c r="D590" s="609"/>
      <c r="E590" s="1209"/>
      <c r="F590" s="1201"/>
      <c r="G590" s="1201"/>
      <c r="H590" s="1204"/>
      <c r="I590" s="1199"/>
      <c r="J590" s="1204"/>
      <c r="K590" s="1199"/>
      <c r="L590" s="1192"/>
      <c r="M590" s="542" t="s">
        <v>124</v>
      </c>
      <c r="N590" s="543"/>
      <c r="O590" s="544">
        <f>O594+O598</f>
        <v>0</v>
      </c>
      <c r="P590" s="544">
        <f>P594+P598</f>
        <v>0</v>
      </c>
      <c r="Q590" s="675">
        <f>Q594+Q598</f>
        <v>0</v>
      </c>
      <c r="R590" s="745"/>
      <c r="S590" s="745"/>
      <c r="T590" s="745"/>
      <c r="U590" s="745"/>
      <c r="V590" s="745"/>
      <c r="W590" s="745"/>
      <c r="X590" s="745"/>
      <c r="Y590" s="745"/>
      <c r="Z590" s="786"/>
      <c r="AA590" s="786"/>
      <c r="AB590" s="786"/>
      <c r="AC590" s="745"/>
    </row>
    <row r="591" spans="2:29" s="778" customFormat="1" ht="16.5" hidden="1" thickBot="1" x14ac:dyDescent="0.3">
      <c r="B591" s="1205"/>
      <c r="C591" s="1208"/>
      <c r="D591" s="609"/>
      <c r="E591" s="1210"/>
      <c r="F591" s="1202"/>
      <c r="G591" s="1202"/>
      <c r="H591" s="1205"/>
      <c r="I591" s="1208"/>
      <c r="J591" s="1205"/>
      <c r="K591" s="1208"/>
      <c r="L591" s="1216"/>
      <c r="M591" s="547" t="s">
        <v>745</v>
      </c>
      <c r="N591" s="549"/>
      <c r="O591" s="551">
        <v>0</v>
      </c>
      <c r="P591" s="551">
        <v>0</v>
      </c>
      <c r="Q591" s="552">
        <v>0</v>
      </c>
      <c r="R591" s="745"/>
      <c r="S591" s="745"/>
      <c r="T591" s="745"/>
      <c r="U591" s="745"/>
      <c r="V591" s="745"/>
      <c r="W591" s="745"/>
      <c r="X591" s="745"/>
      <c r="Y591" s="745"/>
      <c r="Z591" s="786"/>
      <c r="AA591" s="786"/>
      <c r="AB591" s="786"/>
      <c r="AC591" s="745"/>
    </row>
    <row r="592" spans="2:29" s="778" customFormat="1" ht="16.5" hidden="1" thickBot="1" x14ac:dyDescent="0.3">
      <c r="B592" s="1206" t="s">
        <v>173</v>
      </c>
      <c r="C592" s="1207" t="s">
        <v>289</v>
      </c>
      <c r="D592" s="609" t="s">
        <v>288</v>
      </c>
      <c r="E592" s="1207" t="s">
        <v>505</v>
      </c>
      <c r="F592" s="1200" t="s">
        <v>604</v>
      </c>
      <c r="G592" s="1200" t="s">
        <v>257</v>
      </c>
      <c r="H592" s="1206" t="s">
        <v>242</v>
      </c>
      <c r="I592" s="1207" t="s">
        <v>605</v>
      </c>
      <c r="J592" s="1206" t="s">
        <v>462</v>
      </c>
      <c r="K592" s="1207" t="s">
        <v>605</v>
      </c>
      <c r="L592" s="1215" t="s">
        <v>605</v>
      </c>
      <c r="M592" s="542" t="s">
        <v>122</v>
      </c>
      <c r="N592" s="543"/>
      <c r="O592" s="544">
        <f>O593+O594+O595</f>
        <v>0</v>
      </c>
      <c r="P592" s="544">
        <f>P593+P594+P595</f>
        <v>0</v>
      </c>
      <c r="Q592" s="675">
        <f>Q593+Q594+Q595</f>
        <v>0</v>
      </c>
      <c r="R592" s="745"/>
      <c r="S592" s="745"/>
      <c r="T592" s="745"/>
      <c r="U592" s="745"/>
      <c r="V592" s="745"/>
      <c r="W592" s="745"/>
      <c r="X592" s="745"/>
      <c r="Y592" s="745"/>
      <c r="Z592" s="786"/>
      <c r="AA592" s="786"/>
      <c r="AB592" s="786"/>
      <c r="AC592" s="745"/>
    </row>
    <row r="593" spans="2:29" s="778" customFormat="1" ht="16.5" hidden="1" thickBot="1" x14ac:dyDescent="0.3">
      <c r="B593" s="1204"/>
      <c r="C593" s="1199"/>
      <c r="D593" s="609"/>
      <c r="E593" s="1199"/>
      <c r="F593" s="1201"/>
      <c r="G593" s="1201"/>
      <c r="H593" s="1204"/>
      <c r="I593" s="1199"/>
      <c r="J593" s="1204"/>
      <c r="K593" s="1199"/>
      <c r="L593" s="1192"/>
      <c r="M593" s="636" t="s">
        <v>123</v>
      </c>
      <c r="N593" s="549"/>
      <c r="O593" s="544">
        <v>0</v>
      </c>
      <c r="P593" s="544">
        <v>0</v>
      </c>
      <c r="Q593" s="675">
        <v>0</v>
      </c>
      <c r="R593" s="745"/>
      <c r="S593" s="745"/>
      <c r="T593" s="745"/>
      <c r="U593" s="745"/>
      <c r="V593" s="745"/>
      <c r="W593" s="745"/>
      <c r="X593" s="745"/>
      <c r="Y593" s="745"/>
      <c r="Z593" s="786"/>
      <c r="AA593" s="786"/>
      <c r="AB593" s="786"/>
      <c r="AC593" s="745"/>
    </row>
    <row r="594" spans="2:29" s="778" customFormat="1" ht="16.5" hidden="1" thickBot="1" x14ac:dyDescent="0.3">
      <c r="B594" s="1204"/>
      <c r="C594" s="1199"/>
      <c r="D594" s="609"/>
      <c r="E594" s="1199"/>
      <c r="F594" s="1201"/>
      <c r="G594" s="1201"/>
      <c r="H594" s="1204"/>
      <c r="I594" s="1199"/>
      <c r="J594" s="1204"/>
      <c r="K594" s="1199"/>
      <c r="L594" s="1192"/>
      <c r="M594" s="672" t="s">
        <v>124</v>
      </c>
      <c r="N594" s="550"/>
      <c r="O594" s="544">
        <v>0</v>
      </c>
      <c r="P594" s="544">
        <v>0</v>
      </c>
      <c r="Q594" s="675">
        <v>0</v>
      </c>
      <c r="R594" s="745"/>
      <c r="S594" s="745"/>
      <c r="T594" s="745"/>
      <c r="U594" s="745"/>
      <c r="V594" s="745"/>
      <c r="W594" s="745"/>
      <c r="X594" s="745"/>
      <c r="Y594" s="745"/>
      <c r="Z594" s="786"/>
      <c r="AA594" s="786"/>
      <c r="AB594" s="786"/>
      <c r="AC594" s="745"/>
    </row>
    <row r="595" spans="2:29" s="778" customFormat="1" ht="16.5" hidden="1" thickBot="1" x14ac:dyDescent="0.3">
      <c r="B595" s="1204"/>
      <c r="C595" s="1199"/>
      <c r="D595" s="688"/>
      <c r="E595" s="1199"/>
      <c r="F595" s="1201"/>
      <c r="G595" s="1201"/>
      <c r="H595" s="1204"/>
      <c r="I595" s="1199"/>
      <c r="J595" s="1204"/>
      <c r="K595" s="1199"/>
      <c r="L595" s="1192"/>
      <c r="M595" s="671" t="s">
        <v>745</v>
      </c>
      <c r="N595" s="543"/>
      <c r="O595" s="544">
        <v>0</v>
      </c>
      <c r="P595" s="544">
        <v>0</v>
      </c>
      <c r="Q595" s="675">
        <v>0</v>
      </c>
      <c r="R595" s="745"/>
      <c r="S595" s="745"/>
      <c r="T595" s="745"/>
      <c r="U595" s="745"/>
      <c r="V595" s="745"/>
      <c r="W595" s="745"/>
      <c r="X595" s="745"/>
      <c r="Y595" s="745"/>
      <c r="Z595" s="786"/>
      <c r="AA595" s="786"/>
      <c r="AB595" s="786"/>
      <c r="AC595" s="745"/>
    </row>
    <row r="596" spans="2:29" s="778" customFormat="1" ht="16.5" hidden="1" thickBot="1" x14ac:dyDescent="0.3">
      <c r="B596" s="1206" t="s">
        <v>173</v>
      </c>
      <c r="C596" s="1207" t="s">
        <v>289</v>
      </c>
      <c r="D596" s="620" t="s">
        <v>288</v>
      </c>
      <c r="E596" s="1207" t="s">
        <v>621</v>
      </c>
      <c r="F596" s="1200" t="s">
        <v>604</v>
      </c>
      <c r="G596" s="1200" t="s">
        <v>257</v>
      </c>
      <c r="H596" s="1206" t="s">
        <v>242</v>
      </c>
      <c r="I596" s="1207" t="s">
        <v>606</v>
      </c>
      <c r="J596" s="1206" t="s">
        <v>462</v>
      </c>
      <c r="K596" s="1207" t="s">
        <v>606</v>
      </c>
      <c r="L596" s="1215" t="s">
        <v>606</v>
      </c>
      <c r="M596" s="542" t="s">
        <v>122</v>
      </c>
      <c r="N596" s="543"/>
      <c r="O596" s="544">
        <f>O597+O598+O599</f>
        <v>0</v>
      </c>
      <c r="P596" s="544">
        <f>P597+P598+P599</f>
        <v>0</v>
      </c>
      <c r="Q596" s="675">
        <f>Q597+Q598+Q599</f>
        <v>0</v>
      </c>
      <c r="R596" s="745"/>
      <c r="S596" s="745"/>
      <c r="T596" s="745"/>
      <c r="U596" s="745"/>
      <c r="V596" s="745"/>
      <c r="W596" s="745"/>
      <c r="X596" s="745"/>
      <c r="Y596" s="745"/>
      <c r="Z596" s="786"/>
      <c r="AA596" s="786"/>
      <c r="AB596" s="786"/>
      <c r="AC596" s="745"/>
    </row>
    <row r="597" spans="2:29" s="778" customFormat="1" ht="16.5" hidden="1" thickBot="1" x14ac:dyDescent="0.3">
      <c r="B597" s="1204"/>
      <c r="C597" s="1199"/>
      <c r="D597" s="609"/>
      <c r="E597" s="1199"/>
      <c r="F597" s="1201"/>
      <c r="G597" s="1201"/>
      <c r="H597" s="1204"/>
      <c r="I597" s="1199"/>
      <c r="J597" s="1204"/>
      <c r="K597" s="1199"/>
      <c r="L597" s="1192"/>
      <c r="M597" s="636" t="s">
        <v>123</v>
      </c>
      <c r="N597" s="549"/>
      <c r="O597" s="544">
        <v>0</v>
      </c>
      <c r="P597" s="544">
        <v>0</v>
      </c>
      <c r="Q597" s="675">
        <v>0</v>
      </c>
      <c r="R597" s="745"/>
      <c r="S597" s="745"/>
      <c r="T597" s="745"/>
      <c r="U597" s="745"/>
      <c r="V597" s="745"/>
      <c r="W597" s="745"/>
      <c r="X597" s="745"/>
      <c r="Y597" s="745"/>
      <c r="Z597" s="786"/>
      <c r="AA597" s="786"/>
      <c r="AB597" s="786"/>
      <c r="AC597" s="745"/>
    </row>
    <row r="598" spans="2:29" s="778" customFormat="1" ht="16.5" hidden="1" thickBot="1" x14ac:dyDescent="0.3">
      <c r="B598" s="1204"/>
      <c r="C598" s="1199"/>
      <c r="D598" s="609"/>
      <c r="E598" s="1199"/>
      <c r="F598" s="1201"/>
      <c r="G598" s="1201"/>
      <c r="H598" s="1204"/>
      <c r="I598" s="1199"/>
      <c r="J598" s="1204"/>
      <c r="K598" s="1199"/>
      <c r="L598" s="1192"/>
      <c r="M598" s="672" t="s">
        <v>124</v>
      </c>
      <c r="N598" s="550"/>
      <c r="O598" s="544">
        <v>0</v>
      </c>
      <c r="P598" s="544">
        <v>0</v>
      </c>
      <c r="Q598" s="675">
        <v>0</v>
      </c>
      <c r="R598" s="745"/>
      <c r="S598" s="745"/>
      <c r="T598" s="745"/>
      <c r="U598" s="745"/>
      <c r="V598" s="745"/>
      <c r="W598" s="745"/>
      <c r="X598" s="745"/>
      <c r="Y598" s="745"/>
      <c r="Z598" s="786"/>
      <c r="AA598" s="786"/>
      <c r="AB598" s="786"/>
      <c r="AC598" s="745"/>
    </row>
    <row r="599" spans="2:29" s="778" customFormat="1" ht="16.5" hidden="1" thickBot="1" x14ac:dyDescent="0.3">
      <c r="B599" s="1205"/>
      <c r="C599" s="1208"/>
      <c r="D599" s="628"/>
      <c r="E599" s="1208"/>
      <c r="F599" s="1202"/>
      <c r="G599" s="1202"/>
      <c r="H599" s="1205"/>
      <c r="I599" s="1208"/>
      <c r="J599" s="1205"/>
      <c r="K599" s="1208"/>
      <c r="L599" s="1216"/>
      <c r="M599" s="547" t="s">
        <v>745</v>
      </c>
      <c r="N599" s="549"/>
      <c r="O599" s="551">
        <v>0</v>
      </c>
      <c r="P599" s="551">
        <v>0</v>
      </c>
      <c r="Q599" s="552">
        <v>0</v>
      </c>
      <c r="R599" s="745"/>
      <c r="S599" s="745"/>
      <c r="T599" s="745"/>
      <c r="U599" s="745"/>
      <c r="V599" s="745"/>
      <c r="W599" s="745"/>
      <c r="X599" s="745"/>
      <c r="Y599" s="745"/>
      <c r="Z599" s="786"/>
      <c r="AA599" s="786"/>
      <c r="AB599" s="786"/>
      <c r="AC599" s="745"/>
    </row>
    <row r="600" spans="2:29" ht="16.5" thickBot="1" x14ac:dyDescent="0.3">
      <c r="B600" s="1206" t="s">
        <v>173</v>
      </c>
      <c r="C600" s="1308">
        <v>67721</v>
      </c>
      <c r="D600" s="704" t="s">
        <v>288</v>
      </c>
      <c r="E600" s="1232" t="s">
        <v>505</v>
      </c>
      <c r="F600" s="1200" t="s">
        <v>1057</v>
      </c>
      <c r="G600" s="1207" t="s">
        <v>254</v>
      </c>
      <c r="H600" s="1232" t="s">
        <v>240</v>
      </c>
      <c r="I600" s="1206">
        <v>1</v>
      </c>
      <c r="J600" s="1206" t="s">
        <v>528</v>
      </c>
      <c r="K600" s="1232" t="s">
        <v>116</v>
      </c>
      <c r="L600" s="1206" t="s">
        <v>116</v>
      </c>
      <c r="M600" s="542" t="s">
        <v>122</v>
      </c>
      <c r="N600" s="549"/>
      <c r="O600" s="797">
        <f>O601+O602</f>
        <v>116968.4</v>
      </c>
      <c r="P600" s="552">
        <f>P601+P602</f>
        <v>48500</v>
      </c>
      <c r="Q600" s="552">
        <f>Q601+Q602</f>
        <v>48500</v>
      </c>
      <c r="R600" s="51">
        <f>116968396/1000</f>
        <v>116968.39599999999</v>
      </c>
      <c r="S600" s="51">
        <f>48500000/1000</f>
        <v>48500</v>
      </c>
      <c r="T600" s="51">
        <f>48500000/1000</f>
        <v>48500</v>
      </c>
      <c r="V600" s="51">
        <v>116968.4</v>
      </c>
      <c r="W600" s="51">
        <v>48500</v>
      </c>
      <c r="X600" s="51">
        <v>48500</v>
      </c>
    </row>
    <row r="601" spans="2:29" ht="16.5" thickBot="1" x14ac:dyDescent="0.3">
      <c r="B601" s="1204"/>
      <c r="C601" s="1259"/>
      <c r="D601" s="694"/>
      <c r="E601" s="1209"/>
      <c r="F601" s="1201"/>
      <c r="G601" s="1199"/>
      <c r="H601" s="1209"/>
      <c r="I601" s="1204"/>
      <c r="J601" s="1204"/>
      <c r="K601" s="1209"/>
      <c r="L601" s="1204"/>
      <c r="M601" s="636" t="s">
        <v>123</v>
      </c>
      <c r="N601" s="550"/>
      <c r="O601" s="681">
        <f>O605+O609+O613+O617+O621+O625+O629+O657</f>
        <v>0</v>
      </c>
      <c r="P601" s="552">
        <f>P605+P609+P613+P617+P621+P625+P629+P657</f>
        <v>0</v>
      </c>
      <c r="Q601" s="552">
        <f>Q605+Q609+Q613+Q617+Q621+Q625+Q629+Q657</f>
        <v>0</v>
      </c>
    </row>
    <row r="602" spans="2:29" ht="16.5" thickBot="1" x14ac:dyDescent="0.3">
      <c r="B602" s="1204"/>
      <c r="C602" s="1259"/>
      <c r="D602" s="694"/>
      <c r="E602" s="1209"/>
      <c r="F602" s="1201"/>
      <c r="G602" s="1199"/>
      <c r="H602" s="1209"/>
      <c r="I602" s="1204"/>
      <c r="J602" s="1204"/>
      <c r="K602" s="1209"/>
      <c r="L602" s="1204"/>
      <c r="M602" s="672" t="s">
        <v>124</v>
      </c>
      <c r="N602" s="550"/>
      <c r="O602" s="551">
        <f>O606+O610+O614+O618+O622+O626+O630+O634+O638+O642+O646+O650+O654+O658</f>
        <v>116968.4</v>
      </c>
      <c r="P602" s="551">
        <f>P606+P610+P614+P618+P622+P626+P630+P634+P638+P642+P646+P650+P654+P658</f>
        <v>48500</v>
      </c>
      <c r="Q602" s="552">
        <f>Q606+Q610+Q614+Q618+Q622+Q626+Q630+Q634+Q638+Q642+Q646+Q650+Q654+Q658</f>
        <v>48500</v>
      </c>
      <c r="R602" s="782">
        <f>R600-O600</f>
        <v>-4.0000000008149073E-3</v>
      </c>
      <c r="S602" s="782">
        <f>S600-P600</f>
        <v>0</v>
      </c>
      <c r="T602" s="782">
        <f>T600-Q600</f>
        <v>0</v>
      </c>
    </row>
    <row r="603" spans="2:29" ht="16.5" thickBot="1" x14ac:dyDescent="0.3">
      <c r="B603" s="1205"/>
      <c r="C603" s="1260"/>
      <c r="D603" s="704"/>
      <c r="E603" s="1210"/>
      <c r="F603" s="1202"/>
      <c r="G603" s="1208"/>
      <c r="H603" s="1210"/>
      <c r="I603" s="1205"/>
      <c r="J603" s="1205"/>
      <c r="K603" s="1210"/>
      <c r="L603" s="1205"/>
      <c r="M603" s="547" t="s">
        <v>745</v>
      </c>
      <c r="N603" s="563"/>
      <c r="O603" s="681">
        <f>O607+O611+O615+O619+O623+O627+O631+O659</f>
        <v>0</v>
      </c>
      <c r="P603" s="676">
        <f>P607+P611+P615+P619+P623+P627+P631+P659</f>
        <v>0</v>
      </c>
      <c r="Q603" s="676">
        <f>Q607+Q611+Q615+Q619+Q623+Q627+Q631+Q659</f>
        <v>0</v>
      </c>
    </row>
    <row r="604" spans="2:29" ht="16.5" thickBot="1" x14ac:dyDescent="0.3">
      <c r="B604" s="1206" t="s">
        <v>173</v>
      </c>
      <c r="C604" s="1207">
        <v>67721</v>
      </c>
      <c r="D604" s="620" t="s">
        <v>288</v>
      </c>
      <c r="E604" s="1207" t="s">
        <v>505</v>
      </c>
      <c r="F604" s="1200" t="s">
        <v>1020</v>
      </c>
      <c r="G604" s="1200" t="s">
        <v>254</v>
      </c>
      <c r="H604" s="1206" t="s">
        <v>240</v>
      </c>
      <c r="I604" s="1207">
        <v>1</v>
      </c>
      <c r="J604" s="1206" t="s">
        <v>528</v>
      </c>
      <c r="K604" s="1207" t="s">
        <v>199</v>
      </c>
      <c r="L604" s="1215" t="s">
        <v>199</v>
      </c>
      <c r="M604" s="542" t="s">
        <v>122</v>
      </c>
      <c r="N604" s="543"/>
      <c r="O604" s="544">
        <f>O605+O606</f>
        <v>8024.97</v>
      </c>
      <c r="P604" s="675">
        <f>P605+P606</f>
        <v>0</v>
      </c>
      <c r="Q604" s="676">
        <f>Q605+Q606</f>
        <v>0</v>
      </c>
    </row>
    <row r="605" spans="2:29" ht="16.5" thickBot="1" x14ac:dyDescent="0.3">
      <c r="B605" s="1204"/>
      <c r="C605" s="1199"/>
      <c r="D605" s="609"/>
      <c r="E605" s="1199"/>
      <c r="F605" s="1201"/>
      <c r="G605" s="1201"/>
      <c r="H605" s="1204"/>
      <c r="I605" s="1199"/>
      <c r="J605" s="1204"/>
      <c r="K605" s="1199"/>
      <c r="L605" s="1192"/>
      <c r="M605" s="636" t="s">
        <v>123</v>
      </c>
      <c r="N605" s="549"/>
      <c r="O605" s="544">
        <v>0</v>
      </c>
      <c r="P605" s="675">
        <v>0</v>
      </c>
      <c r="Q605" s="675">
        <v>0</v>
      </c>
    </row>
    <row r="606" spans="2:29" ht="16.5" thickBot="1" x14ac:dyDescent="0.3">
      <c r="B606" s="1204"/>
      <c r="C606" s="1199"/>
      <c r="D606" s="609"/>
      <c r="E606" s="1199"/>
      <c r="F606" s="1201"/>
      <c r="G606" s="1201"/>
      <c r="H606" s="1204"/>
      <c r="I606" s="1199"/>
      <c r="J606" s="1204"/>
      <c r="K606" s="1199"/>
      <c r="L606" s="1192"/>
      <c r="M606" s="672" t="s">
        <v>124</v>
      </c>
      <c r="N606" s="550"/>
      <c r="O606" s="544">
        <v>8024.97</v>
      </c>
      <c r="P606" s="675">
        <v>0</v>
      </c>
      <c r="Q606" s="675">
        <v>0</v>
      </c>
    </row>
    <row r="607" spans="2:29" ht="16.5" thickBot="1" x14ac:dyDescent="0.3">
      <c r="B607" s="1205"/>
      <c r="C607" s="1208"/>
      <c r="D607" s="628"/>
      <c r="E607" s="1208"/>
      <c r="F607" s="1202"/>
      <c r="G607" s="1202"/>
      <c r="H607" s="1205"/>
      <c r="I607" s="1208"/>
      <c r="J607" s="1205"/>
      <c r="K607" s="1208"/>
      <c r="L607" s="1216"/>
      <c r="M607" s="547" t="s">
        <v>745</v>
      </c>
      <c r="N607" s="549"/>
      <c r="O607" s="551">
        <v>0</v>
      </c>
      <c r="P607" s="552">
        <v>0</v>
      </c>
      <c r="Q607" s="552">
        <v>0</v>
      </c>
    </row>
    <row r="608" spans="2:29" ht="16.5" thickBot="1" x14ac:dyDescent="0.3">
      <c r="B608" s="1204" t="s">
        <v>173</v>
      </c>
      <c r="C608" s="1207">
        <v>67721</v>
      </c>
      <c r="D608" s="689" t="s">
        <v>288</v>
      </c>
      <c r="E608" s="1199" t="s">
        <v>505</v>
      </c>
      <c r="F608" s="1201" t="s">
        <v>1021</v>
      </c>
      <c r="G608" s="1201" t="s">
        <v>254</v>
      </c>
      <c r="H608" s="1204" t="s">
        <v>240</v>
      </c>
      <c r="I608" s="1199">
        <v>1</v>
      </c>
      <c r="J608" s="1206" t="s">
        <v>528</v>
      </c>
      <c r="K608" s="1207" t="s">
        <v>199</v>
      </c>
      <c r="L608" s="1215" t="s">
        <v>199</v>
      </c>
      <c r="M608" s="692" t="s">
        <v>122</v>
      </c>
      <c r="N608" s="563"/>
      <c r="O608" s="557">
        <f>O609+O610</f>
        <v>1280</v>
      </c>
      <c r="P608" s="557">
        <f>P609+P610</f>
        <v>0</v>
      </c>
      <c r="Q608" s="552">
        <f>Q609+Q610</f>
        <v>0</v>
      </c>
    </row>
    <row r="609" spans="2:17" ht="16.5" thickBot="1" x14ac:dyDescent="0.3">
      <c r="B609" s="1204"/>
      <c r="C609" s="1199"/>
      <c r="D609" s="609"/>
      <c r="E609" s="1199"/>
      <c r="F609" s="1201"/>
      <c r="G609" s="1201"/>
      <c r="H609" s="1204"/>
      <c r="I609" s="1199"/>
      <c r="J609" s="1204"/>
      <c r="K609" s="1199"/>
      <c r="L609" s="1192"/>
      <c r="M609" s="636" t="s">
        <v>123</v>
      </c>
      <c r="N609" s="549"/>
      <c r="O609" s="544">
        <v>0</v>
      </c>
      <c r="P609" s="544">
        <v>0</v>
      </c>
      <c r="Q609" s="675">
        <v>0</v>
      </c>
    </row>
    <row r="610" spans="2:17" ht="16.5" thickBot="1" x14ac:dyDescent="0.3">
      <c r="B610" s="1204"/>
      <c r="C610" s="1199"/>
      <c r="D610" s="609"/>
      <c r="E610" s="1199"/>
      <c r="F610" s="1201"/>
      <c r="G610" s="1201"/>
      <c r="H610" s="1204"/>
      <c r="I610" s="1199"/>
      <c r="J610" s="1204"/>
      <c r="K610" s="1199"/>
      <c r="L610" s="1192"/>
      <c r="M610" s="672" t="s">
        <v>124</v>
      </c>
      <c r="N610" s="550"/>
      <c r="O610" s="544">
        <v>1280</v>
      </c>
      <c r="P610" s="544">
        <v>0</v>
      </c>
      <c r="Q610" s="675">
        <v>0</v>
      </c>
    </row>
    <row r="611" spans="2:17" ht="16.5" thickBot="1" x14ac:dyDescent="0.3">
      <c r="B611" s="1205"/>
      <c r="C611" s="1208"/>
      <c r="D611" s="688"/>
      <c r="E611" s="1199"/>
      <c r="F611" s="1201"/>
      <c r="G611" s="1201"/>
      <c r="H611" s="1204"/>
      <c r="I611" s="1199"/>
      <c r="J611" s="1205"/>
      <c r="K611" s="1208"/>
      <c r="L611" s="1216"/>
      <c r="M611" s="671" t="s">
        <v>745</v>
      </c>
      <c r="N611" s="543"/>
      <c r="O611" s="544">
        <v>0</v>
      </c>
      <c r="P611" s="544">
        <v>0</v>
      </c>
      <c r="Q611" s="675">
        <v>0</v>
      </c>
    </row>
    <row r="612" spans="2:17" ht="16.5" customHeight="1" thickBot="1" x14ac:dyDescent="0.3">
      <c r="B612" s="1204" t="s">
        <v>173</v>
      </c>
      <c r="C612" s="1207">
        <v>67721</v>
      </c>
      <c r="D612" s="620" t="s">
        <v>288</v>
      </c>
      <c r="E612" s="1207" t="s">
        <v>505</v>
      </c>
      <c r="F612" s="1200" t="s">
        <v>1022</v>
      </c>
      <c r="G612" s="1200" t="s">
        <v>254</v>
      </c>
      <c r="H612" s="1206" t="s">
        <v>240</v>
      </c>
      <c r="I612" s="1207">
        <v>1</v>
      </c>
      <c r="J612" s="1206" t="s">
        <v>528</v>
      </c>
      <c r="K612" s="1207">
        <v>1</v>
      </c>
      <c r="L612" s="1215">
        <v>1</v>
      </c>
      <c r="M612" s="542" t="s">
        <v>122</v>
      </c>
      <c r="N612" s="543"/>
      <c r="O612" s="544">
        <f>O613+O614</f>
        <v>1733.9</v>
      </c>
      <c r="P612" s="544">
        <f>P613+P614</f>
        <v>1733.9</v>
      </c>
      <c r="Q612" s="552">
        <f>Q613+Q614</f>
        <v>1733.9</v>
      </c>
    </row>
    <row r="613" spans="2:17" ht="16.5" thickBot="1" x14ac:dyDescent="0.3">
      <c r="B613" s="1204"/>
      <c r="C613" s="1199"/>
      <c r="D613" s="609"/>
      <c r="E613" s="1199"/>
      <c r="F613" s="1201"/>
      <c r="G613" s="1201"/>
      <c r="H613" s="1204"/>
      <c r="I613" s="1199"/>
      <c r="J613" s="1204"/>
      <c r="K613" s="1199"/>
      <c r="L613" s="1192"/>
      <c r="M613" s="636" t="s">
        <v>123</v>
      </c>
      <c r="N613" s="549"/>
      <c r="O613" s="544">
        <v>0</v>
      </c>
      <c r="P613" s="544">
        <v>0</v>
      </c>
      <c r="Q613" s="675">
        <v>0</v>
      </c>
    </row>
    <row r="614" spans="2:17" ht="16.5" thickBot="1" x14ac:dyDescent="0.3">
      <c r="B614" s="1204"/>
      <c r="C614" s="1199"/>
      <c r="D614" s="609"/>
      <c r="E614" s="1199"/>
      <c r="F614" s="1201"/>
      <c r="G614" s="1201"/>
      <c r="H614" s="1204"/>
      <c r="I614" s="1199"/>
      <c r="J614" s="1204"/>
      <c r="K614" s="1199"/>
      <c r="L614" s="1192"/>
      <c r="M614" s="672" t="s">
        <v>124</v>
      </c>
      <c r="N614" s="550"/>
      <c r="O614" s="544">
        <v>1733.9</v>
      </c>
      <c r="P614" s="544">
        <v>1733.9</v>
      </c>
      <c r="Q614" s="675">
        <v>1733.9</v>
      </c>
    </row>
    <row r="615" spans="2:17" ht="16.5" thickBot="1" x14ac:dyDescent="0.3">
      <c r="B615" s="1205"/>
      <c r="C615" s="1208"/>
      <c r="D615" s="628"/>
      <c r="E615" s="1208"/>
      <c r="F615" s="1202"/>
      <c r="G615" s="1202"/>
      <c r="H615" s="1205"/>
      <c r="I615" s="1208"/>
      <c r="J615" s="1205"/>
      <c r="K615" s="1208"/>
      <c r="L615" s="1216"/>
      <c r="M615" s="547" t="s">
        <v>745</v>
      </c>
      <c r="N615" s="549"/>
      <c r="O615" s="551">
        <v>0</v>
      </c>
      <c r="P615" s="551">
        <v>0</v>
      </c>
      <c r="Q615" s="552">
        <v>0</v>
      </c>
    </row>
    <row r="616" spans="2:17" ht="16.5" customHeight="1" thickBot="1" x14ac:dyDescent="0.3">
      <c r="B616" s="1204" t="s">
        <v>173</v>
      </c>
      <c r="C616" s="1207">
        <v>67721</v>
      </c>
      <c r="D616" s="689" t="s">
        <v>288</v>
      </c>
      <c r="E616" s="1199" t="s">
        <v>505</v>
      </c>
      <c r="F616" s="1201" t="s">
        <v>1023</v>
      </c>
      <c r="G616" s="1201" t="s">
        <v>254</v>
      </c>
      <c r="H616" s="1204" t="s">
        <v>240</v>
      </c>
      <c r="I616" s="1207">
        <v>1</v>
      </c>
      <c r="J616" s="1206" t="s">
        <v>528</v>
      </c>
      <c r="K616" s="1207">
        <v>1</v>
      </c>
      <c r="L616" s="1215">
        <v>1</v>
      </c>
      <c r="M616" s="672" t="s">
        <v>122</v>
      </c>
      <c r="N616" s="550"/>
      <c r="O616" s="561">
        <f>O617+O618</f>
        <v>3461.14</v>
      </c>
      <c r="P616" s="561">
        <f>P617+P618</f>
        <v>12766.1</v>
      </c>
      <c r="Q616" s="676">
        <f>Q617+Q618</f>
        <v>12766.1</v>
      </c>
    </row>
    <row r="617" spans="2:17" ht="16.5" thickBot="1" x14ac:dyDescent="0.3">
      <c r="B617" s="1204"/>
      <c r="C617" s="1199"/>
      <c r="D617" s="609"/>
      <c r="E617" s="1199"/>
      <c r="F617" s="1201"/>
      <c r="G617" s="1201"/>
      <c r="H617" s="1204"/>
      <c r="I617" s="1199"/>
      <c r="J617" s="1204"/>
      <c r="K617" s="1199"/>
      <c r="L617" s="1192"/>
      <c r="M617" s="636" t="s">
        <v>123</v>
      </c>
      <c r="N617" s="549"/>
      <c r="O617" s="544">
        <v>0</v>
      </c>
      <c r="P617" s="544">
        <v>0</v>
      </c>
      <c r="Q617" s="675">
        <v>0</v>
      </c>
    </row>
    <row r="618" spans="2:17" ht="16.5" thickBot="1" x14ac:dyDescent="0.3">
      <c r="B618" s="1204"/>
      <c r="C618" s="1199"/>
      <c r="D618" s="609"/>
      <c r="E618" s="1199"/>
      <c r="F618" s="1201"/>
      <c r="G618" s="1201"/>
      <c r="H618" s="1204"/>
      <c r="I618" s="1199"/>
      <c r="J618" s="1204"/>
      <c r="K618" s="1199"/>
      <c r="L618" s="1192"/>
      <c r="M618" s="692" t="s">
        <v>124</v>
      </c>
      <c r="N618" s="563"/>
      <c r="O618" s="551">
        <v>3461.14</v>
      </c>
      <c r="P618" s="551">
        <v>12766.1</v>
      </c>
      <c r="Q618" s="552">
        <v>12766.1</v>
      </c>
    </row>
    <row r="619" spans="2:17" ht="16.5" thickBot="1" x14ac:dyDescent="0.3">
      <c r="B619" s="1205"/>
      <c r="C619" s="1208"/>
      <c r="D619" s="688"/>
      <c r="E619" s="1199"/>
      <c r="F619" s="1201"/>
      <c r="G619" s="1201"/>
      <c r="H619" s="1204"/>
      <c r="I619" s="1208"/>
      <c r="J619" s="1205"/>
      <c r="K619" s="1208"/>
      <c r="L619" s="1216"/>
      <c r="M619" s="671" t="s">
        <v>745</v>
      </c>
      <c r="N619" s="543"/>
      <c r="O619" s="544">
        <v>0</v>
      </c>
      <c r="P619" s="544">
        <v>0</v>
      </c>
      <c r="Q619" s="675">
        <v>0</v>
      </c>
    </row>
    <row r="620" spans="2:17" ht="16.5" thickBot="1" x14ac:dyDescent="0.3">
      <c r="B620" s="1204" t="s">
        <v>173</v>
      </c>
      <c r="C620" s="1207">
        <v>67721</v>
      </c>
      <c r="D620" s="620" t="s">
        <v>288</v>
      </c>
      <c r="E620" s="1207" t="s">
        <v>505</v>
      </c>
      <c r="F620" s="1200" t="s">
        <v>937</v>
      </c>
      <c r="G620" s="1200" t="s">
        <v>254</v>
      </c>
      <c r="H620" s="1206" t="s">
        <v>240</v>
      </c>
      <c r="I620" s="1207">
        <v>1</v>
      </c>
      <c r="J620" s="1206" t="s">
        <v>528</v>
      </c>
      <c r="K620" s="1207" t="s">
        <v>199</v>
      </c>
      <c r="L620" s="1207" t="s">
        <v>199</v>
      </c>
      <c r="M620" s="542" t="s">
        <v>122</v>
      </c>
      <c r="N620" s="543"/>
      <c r="O620" s="544">
        <f>O621+O622</f>
        <v>33912.300000000003</v>
      </c>
      <c r="P620" s="544">
        <f>P621+P622</f>
        <v>0</v>
      </c>
      <c r="Q620" s="552">
        <f>Q621+Q622</f>
        <v>0</v>
      </c>
    </row>
    <row r="621" spans="2:17" ht="16.5" thickBot="1" x14ac:dyDescent="0.3">
      <c r="B621" s="1204"/>
      <c r="C621" s="1199"/>
      <c r="D621" s="609"/>
      <c r="E621" s="1199"/>
      <c r="F621" s="1201"/>
      <c r="G621" s="1201"/>
      <c r="H621" s="1204"/>
      <c r="I621" s="1199"/>
      <c r="J621" s="1204"/>
      <c r="K621" s="1199"/>
      <c r="L621" s="1199"/>
      <c r="M621" s="636" t="s">
        <v>123</v>
      </c>
      <c r="N621" s="549"/>
      <c r="O621" s="544">
        <v>0</v>
      </c>
      <c r="P621" s="544">
        <v>0</v>
      </c>
      <c r="Q621" s="675">
        <v>0</v>
      </c>
    </row>
    <row r="622" spans="2:17" ht="16.5" thickBot="1" x14ac:dyDescent="0.3">
      <c r="B622" s="1204"/>
      <c r="C622" s="1199"/>
      <c r="D622" s="609"/>
      <c r="E622" s="1199"/>
      <c r="F622" s="1201"/>
      <c r="G622" s="1201"/>
      <c r="H622" s="1204"/>
      <c r="I622" s="1199"/>
      <c r="J622" s="1204"/>
      <c r="K622" s="1199"/>
      <c r="L622" s="1199"/>
      <c r="M622" s="672" t="s">
        <v>124</v>
      </c>
      <c r="N622" s="550"/>
      <c r="O622" s="544">
        <v>33912.300000000003</v>
      </c>
      <c r="P622" s="544">
        <v>0</v>
      </c>
      <c r="Q622" s="675">
        <v>0</v>
      </c>
    </row>
    <row r="623" spans="2:17" ht="16.5" thickBot="1" x14ac:dyDescent="0.3">
      <c r="B623" s="1205"/>
      <c r="C623" s="1208"/>
      <c r="D623" s="628"/>
      <c r="E623" s="1208"/>
      <c r="F623" s="1202"/>
      <c r="G623" s="1202"/>
      <c r="H623" s="1205"/>
      <c r="I623" s="1208"/>
      <c r="J623" s="1205"/>
      <c r="K623" s="1208"/>
      <c r="L623" s="1208"/>
      <c r="M623" s="547" t="s">
        <v>745</v>
      </c>
      <c r="N623" s="549"/>
      <c r="O623" s="551">
        <v>0</v>
      </c>
      <c r="P623" s="551">
        <v>0</v>
      </c>
      <c r="Q623" s="552">
        <v>0</v>
      </c>
    </row>
    <row r="624" spans="2:17" ht="16.5" thickBot="1" x14ac:dyDescent="0.3">
      <c r="B624" s="1206" t="s">
        <v>173</v>
      </c>
      <c r="C624" s="1207">
        <v>67721</v>
      </c>
      <c r="D624" s="620" t="s">
        <v>288</v>
      </c>
      <c r="E624" s="1207" t="s">
        <v>505</v>
      </c>
      <c r="F624" s="1200" t="s">
        <v>1024</v>
      </c>
      <c r="G624" s="1200" t="s">
        <v>190</v>
      </c>
      <c r="H624" s="1206" t="s">
        <v>240</v>
      </c>
      <c r="I624" s="1207">
        <v>1</v>
      </c>
      <c r="J624" s="1206" t="s">
        <v>528</v>
      </c>
      <c r="K624" s="1207" t="s">
        <v>199</v>
      </c>
      <c r="L624" s="1207" t="s">
        <v>199</v>
      </c>
      <c r="M624" s="542" t="s">
        <v>122</v>
      </c>
      <c r="N624" s="543"/>
      <c r="O624" s="544">
        <f>O625+O626</f>
        <v>2456.73</v>
      </c>
      <c r="P624" s="544">
        <f>P625+P626</f>
        <v>0</v>
      </c>
      <c r="Q624" s="552">
        <f>Q625+Q626</f>
        <v>0</v>
      </c>
    </row>
    <row r="625" spans="2:17" ht="16.5" thickBot="1" x14ac:dyDescent="0.3">
      <c r="B625" s="1204"/>
      <c r="C625" s="1199"/>
      <c r="D625" s="609"/>
      <c r="E625" s="1199"/>
      <c r="F625" s="1201"/>
      <c r="G625" s="1201"/>
      <c r="H625" s="1204"/>
      <c r="I625" s="1199"/>
      <c r="J625" s="1204"/>
      <c r="K625" s="1199"/>
      <c r="L625" s="1199"/>
      <c r="M625" s="636" t="s">
        <v>123</v>
      </c>
      <c r="N625" s="549"/>
      <c r="O625" s="544">
        <v>0</v>
      </c>
      <c r="P625" s="544">
        <v>0</v>
      </c>
      <c r="Q625" s="675">
        <v>0</v>
      </c>
    </row>
    <row r="626" spans="2:17" ht="16.5" thickBot="1" x14ac:dyDescent="0.3">
      <c r="B626" s="1204"/>
      <c r="C626" s="1199"/>
      <c r="D626" s="609"/>
      <c r="E626" s="1199"/>
      <c r="F626" s="1201"/>
      <c r="G626" s="1201"/>
      <c r="H626" s="1204"/>
      <c r="I626" s="1199"/>
      <c r="J626" s="1204"/>
      <c r="K626" s="1199"/>
      <c r="L626" s="1199"/>
      <c r="M626" s="672" t="s">
        <v>124</v>
      </c>
      <c r="N626" s="550"/>
      <c r="O626" s="544">
        <v>2456.73</v>
      </c>
      <c r="P626" s="544">
        <v>0</v>
      </c>
      <c r="Q626" s="675">
        <v>0</v>
      </c>
    </row>
    <row r="627" spans="2:17" ht="16.5" thickBot="1" x14ac:dyDescent="0.3">
      <c r="B627" s="1205"/>
      <c r="C627" s="1208"/>
      <c r="D627" s="628"/>
      <c r="E627" s="1208"/>
      <c r="F627" s="1202"/>
      <c r="G627" s="1202"/>
      <c r="H627" s="1205"/>
      <c r="I627" s="1208"/>
      <c r="J627" s="1205"/>
      <c r="K627" s="1208"/>
      <c r="L627" s="1208"/>
      <c r="M627" s="547" t="s">
        <v>745</v>
      </c>
      <c r="N627" s="549"/>
      <c r="O627" s="551">
        <v>0</v>
      </c>
      <c r="P627" s="551">
        <v>0</v>
      </c>
      <c r="Q627" s="552">
        <v>0</v>
      </c>
    </row>
    <row r="628" spans="2:17" ht="16.5" thickBot="1" x14ac:dyDescent="0.3">
      <c r="B628" s="1206" t="s">
        <v>173</v>
      </c>
      <c r="C628" s="1207">
        <v>67721</v>
      </c>
      <c r="D628" s="620" t="s">
        <v>288</v>
      </c>
      <c r="E628" s="1207" t="s">
        <v>505</v>
      </c>
      <c r="F628" s="1200" t="s">
        <v>1025</v>
      </c>
      <c r="G628" s="1200" t="s">
        <v>190</v>
      </c>
      <c r="H628" s="1206" t="s">
        <v>240</v>
      </c>
      <c r="I628" s="1207">
        <v>1</v>
      </c>
      <c r="J628" s="1206" t="s">
        <v>528</v>
      </c>
      <c r="K628" s="1207" t="s">
        <v>199</v>
      </c>
      <c r="L628" s="1207" t="s">
        <v>199</v>
      </c>
      <c r="M628" s="542" t="s">
        <v>122</v>
      </c>
      <c r="N628" s="543"/>
      <c r="O628" s="544">
        <f>O629+O630</f>
        <v>2423.02</v>
      </c>
      <c r="P628" s="544">
        <f>P629+P630</f>
        <v>0</v>
      </c>
      <c r="Q628" s="552">
        <f>Q629+Q630</f>
        <v>0</v>
      </c>
    </row>
    <row r="629" spans="2:17" ht="16.5" thickBot="1" x14ac:dyDescent="0.3">
      <c r="B629" s="1204"/>
      <c r="C629" s="1199"/>
      <c r="D629" s="609"/>
      <c r="E629" s="1199"/>
      <c r="F629" s="1201"/>
      <c r="G629" s="1201"/>
      <c r="H629" s="1204"/>
      <c r="I629" s="1199"/>
      <c r="J629" s="1204"/>
      <c r="K629" s="1199"/>
      <c r="L629" s="1199"/>
      <c r="M629" s="636" t="s">
        <v>123</v>
      </c>
      <c r="N629" s="549"/>
      <c r="O629" s="544">
        <v>0</v>
      </c>
      <c r="P629" s="544">
        <v>0</v>
      </c>
      <c r="Q629" s="675">
        <v>0</v>
      </c>
    </row>
    <row r="630" spans="2:17" ht="16.5" thickBot="1" x14ac:dyDescent="0.3">
      <c r="B630" s="1204"/>
      <c r="C630" s="1199"/>
      <c r="D630" s="609"/>
      <c r="E630" s="1199"/>
      <c r="F630" s="1201"/>
      <c r="G630" s="1201"/>
      <c r="H630" s="1204"/>
      <c r="I630" s="1199"/>
      <c r="J630" s="1204"/>
      <c r="K630" s="1199"/>
      <c r="L630" s="1199"/>
      <c r="M630" s="672" t="s">
        <v>124</v>
      </c>
      <c r="N630" s="550"/>
      <c r="O630" s="544">
        <v>2423.02</v>
      </c>
      <c r="P630" s="544">
        <v>0</v>
      </c>
      <c r="Q630" s="675">
        <v>0</v>
      </c>
    </row>
    <row r="631" spans="2:17" ht="16.5" thickBot="1" x14ac:dyDescent="0.3">
      <c r="B631" s="1205"/>
      <c r="C631" s="1208"/>
      <c r="D631" s="628"/>
      <c r="E631" s="1208"/>
      <c r="F631" s="1202"/>
      <c r="G631" s="1202"/>
      <c r="H631" s="1205"/>
      <c r="I631" s="1208"/>
      <c r="J631" s="1205"/>
      <c r="K631" s="1208"/>
      <c r="L631" s="1208"/>
      <c r="M631" s="547" t="s">
        <v>745</v>
      </c>
      <c r="N631" s="549"/>
      <c r="O631" s="551">
        <v>0</v>
      </c>
      <c r="P631" s="551">
        <v>0</v>
      </c>
      <c r="Q631" s="552">
        <v>0</v>
      </c>
    </row>
    <row r="632" spans="2:17" ht="16.5" thickBot="1" x14ac:dyDescent="0.3">
      <c r="B632" s="1206" t="s">
        <v>173</v>
      </c>
      <c r="C632" s="1207">
        <v>67721</v>
      </c>
      <c r="D632" s="620" t="s">
        <v>288</v>
      </c>
      <c r="E632" s="1207" t="s">
        <v>505</v>
      </c>
      <c r="F632" s="1200" t="s">
        <v>1026</v>
      </c>
      <c r="G632" s="1200" t="s">
        <v>190</v>
      </c>
      <c r="H632" s="1206" t="s">
        <v>240</v>
      </c>
      <c r="I632" s="1207">
        <v>1</v>
      </c>
      <c r="J632" s="1206" t="s">
        <v>528</v>
      </c>
      <c r="K632" s="1207" t="s">
        <v>199</v>
      </c>
      <c r="L632" s="1207" t="s">
        <v>199</v>
      </c>
      <c r="M632" s="542" t="s">
        <v>122</v>
      </c>
      <c r="N632" s="543"/>
      <c r="O632" s="544">
        <f>O633+O634</f>
        <v>1151.6300000000001</v>
      </c>
      <c r="P632" s="544">
        <f>P633+P634</f>
        <v>0</v>
      </c>
      <c r="Q632" s="552">
        <f>Q633+Q634</f>
        <v>0</v>
      </c>
    </row>
    <row r="633" spans="2:17" ht="16.5" thickBot="1" x14ac:dyDescent="0.3">
      <c r="B633" s="1204"/>
      <c r="C633" s="1199"/>
      <c r="D633" s="609"/>
      <c r="E633" s="1199"/>
      <c r="F633" s="1201"/>
      <c r="G633" s="1201"/>
      <c r="H633" s="1204"/>
      <c r="I633" s="1199"/>
      <c r="J633" s="1204"/>
      <c r="K633" s="1199"/>
      <c r="L633" s="1199"/>
      <c r="M633" s="636" t="s">
        <v>123</v>
      </c>
      <c r="N633" s="549"/>
      <c r="O633" s="544">
        <v>0</v>
      </c>
      <c r="P633" s="544">
        <v>0</v>
      </c>
      <c r="Q633" s="675">
        <v>0</v>
      </c>
    </row>
    <row r="634" spans="2:17" ht="16.5" thickBot="1" x14ac:dyDescent="0.3">
      <c r="B634" s="1204"/>
      <c r="C634" s="1199"/>
      <c r="D634" s="609"/>
      <c r="E634" s="1199"/>
      <c r="F634" s="1201"/>
      <c r="G634" s="1201"/>
      <c r="H634" s="1204"/>
      <c r="I634" s="1199"/>
      <c r="J634" s="1204"/>
      <c r="K634" s="1199"/>
      <c r="L634" s="1199"/>
      <c r="M634" s="672" t="s">
        <v>124</v>
      </c>
      <c r="N634" s="550"/>
      <c r="O634" s="544">
        <v>1151.6300000000001</v>
      </c>
      <c r="P634" s="544">
        <v>0</v>
      </c>
      <c r="Q634" s="675">
        <v>0</v>
      </c>
    </row>
    <row r="635" spans="2:17" ht="16.5" thickBot="1" x14ac:dyDescent="0.3">
      <c r="B635" s="1205"/>
      <c r="C635" s="1208"/>
      <c r="D635" s="628"/>
      <c r="E635" s="1208"/>
      <c r="F635" s="1202"/>
      <c r="G635" s="1202"/>
      <c r="H635" s="1205"/>
      <c r="I635" s="1208"/>
      <c r="J635" s="1205"/>
      <c r="K635" s="1208"/>
      <c r="L635" s="1208"/>
      <c r="M635" s="547" t="s">
        <v>745</v>
      </c>
      <c r="N635" s="549"/>
      <c r="O635" s="551">
        <v>0</v>
      </c>
      <c r="P635" s="551">
        <v>0</v>
      </c>
      <c r="Q635" s="552">
        <v>0</v>
      </c>
    </row>
    <row r="636" spans="2:17" ht="16.5" thickBot="1" x14ac:dyDescent="0.3">
      <c r="B636" s="1206" t="s">
        <v>173</v>
      </c>
      <c r="C636" s="1207">
        <v>67721</v>
      </c>
      <c r="D636" s="620" t="s">
        <v>288</v>
      </c>
      <c r="E636" s="1207" t="s">
        <v>505</v>
      </c>
      <c r="F636" s="1200" t="s">
        <v>1027</v>
      </c>
      <c r="G636" s="1200" t="s">
        <v>190</v>
      </c>
      <c r="H636" s="1206" t="s">
        <v>240</v>
      </c>
      <c r="I636" s="1207">
        <v>1</v>
      </c>
      <c r="J636" s="1206" t="s">
        <v>528</v>
      </c>
      <c r="K636" s="1207" t="s">
        <v>199</v>
      </c>
      <c r="L636" s="1207" t="s">
        <v>199</v>
      </c>
      <c r="M636" s="542" t="s">
        <v>122</v>
      </c>
      <c r="N636" s="543"/>
      <c r="O636" s="544">
        <f>O637+O638</f>
        <v>500</v>
      </c>
      <c r="P636" s="544">
        <f>P637+P638</f>
        <v>0</v>
      </c>
      <c r="Q636" s="552">
        <f>Q637+Q638</f>
        <v>0</v>
      </c>
    </row>
    <row r="637" spans="2:17" ht="16.5" thickBot="1" x14ac:dyDescent="0.3">
      <c r="B637" s="1204"/>
      <c r="C637" s="1199"/>
      <c r="D637" s="609"/>
      <c r="E637" s="1199"/>
      <c r="F637" s="1201"/>
      <c r="G637" s="1201"/>
      <c r="H637" s="1204"/>
      <c r="I637" s="1199"/>
      <c r="J637" s="1204"/>
      <c r="K637" s="1199"/>
      <c r="L637" s="1199"/>
      <c r="M637" s="636" t="s">
        <v>123</v>
      </c>
      <c r="N637" s="549"/>
      <c r="O637" s="544">
        <v>0</v>
      </c>
      <c r="P637" s="544">
        <v>0</v>
      </c>
      <c r="Q637" s="675">
        <v>0</v>
      </c>
    </row>
    <row r="638" spans="2:17" ht="16.5" thickBot="1" x14ac:dyDescent="0.3">
      <c r="B638" s="1204"/>
      <c r="C638" s="1199"/>
      <c r="D638" s="609"/>
      <c r="E638" s="1199"/>
      <c r="F638" s="1201"/>
      <c r="G638" s="1201"/>
      <c r="H638" s="1204"/>
      <c r="I638" s="1199"/>
      <c r="J638" s="1204"/>
      <c r="K638" s="1199"/>
      <c r="L638" s="1199"/>
      <c r="M638" s="672" t="s">
        <v>124</v>
      </c>
      <c r="N638" s="550"/>
      <c r="O638" s="544">
        <v>500</v>
      </c>
      <c r="P638" s="544">
        <v>0</v>
      </c>
      <c r="Q638" s="675">
        <v>0</v>
      </c>
    </row>
    <row r="639" spans="2:17" ht="16.5" thickBot="1" x14ac:dyDescent="0.3">
      <c r="B639" s="1205"/>
      <c r="C639" s="1208"/>
      <c r="D639" s="628"/>
      <c r="E639" s="1208"/>
      <c r="F639" s="1202"/>
      <c r="G639" s="1202"/>
      <c r="H639" s="1205"/>
      <c r="I639" s="1208"/>
      <c r="J639" s="1205"/>
      <c r="K639" s="1208"/>
      <c r="L639" s="1208"/>
      <c r="M639" s="547" t="s">
        <v>745</v>
      </c>
      <c r="N639" s="549"/>
      <c r="O639" s="551">
        <v>0</v>
      </c>
      <c r="P639" s="551">
        <v>0</v>
      </c>
      <c r="Q639" s="552">
        <v>0</v>
      </c>
    </row>
    <row r="640" spans="2:17" ht="16.5" thickBot="1" x14ac:dyDescent="0.3">
      <c r="B640" s="1206" t="s">
        <v>173</v>
      </c>
      <c r="C640" s="1207">
        <v>67721</v>
      </c>
      <c r="D640" s="620" t="s">
        <v>931</v>
      </c>
      <c r="E640" s="1207" t="s">
        <v>505</v>
      </c>
      <c r="F640" s="1200" t="s">
        <v>1028</v>
      </c>
      <c r="G640" s="1200" t="s">
        <v>190</v>
      </c>
      <c r="H640" s="1206" t="s">
        <v>240</v>
      </c>
      <c r="I640" s="1207">
        <v>1</v>
      </c>
      <c r="J640" s="1206" t="s">
        <v>528</v>
      </c>
      <c r="K640" s="1207" t="s">
        <v>199</v>
      </c>
      <c r="L640" s="1207" t="s">
        <v>199</v>
      </c>
      <c r="M640" s="542" t="s">
        <v>122</v>
      </c>
      <c r="N640" s="543"/>
      <c r="O640" s="544">
        <f>O641+O642</f>
        <v>600</v>
      </c>
      <c r="P640" s="544">
        <f>P641+P642</f>
        <v>0</v>
      </c>
      <c r="Q640" s="552">
        <f>Q641+Q642</f>
        <v>0</v>
      </c>
    </row>
    <row r="641" spans="2:17" ht="16.5" thickBot="1" x14ac:dyDescent="0.3">
      <c r="B641" s="1204"/>
      <c r="C641" s="1199"/>
      <c r="D641" s="609"/>
      <c r="E641" s="1199"/>
      <c r="F641" s="1201"/>
      <c r="G641" s="1201"/>
      <c r="H641" s="1204"/>
      <c r="I641" s="1199"/>
      <c r="J641" s="1204"/>
      <c r="K641" s="1199"/>
      <c r="L641" s="1199"/>
      <c r="M641" s="636" t="s">
        <v>123</v>
      </c>
      <c r="N641" s="549"/>
      <c r="O641" s="544">
        <v>0</v>
      </c>
      <c r="P641" s="544">
        <v>0</v>
      </c>
      <c r="Q641" s="675">
        <v>0</v>
      </c>
    </row>
    <row r="642" spans="2:17" ht="16.5" thickBot="1" x14ac:dyDescent="0.3">
      <c r="B642" s="1204"/>
      <c r="C642" s="1199"/>
      <c r="D642" s="609"/>
      <c r="E642" s="1199"/>
      <c r="F642" s="1201"/>
      <c r="G642" s="1201"/>
      <c r="H642" s="1204"/>
      <c r="I642" s="1199"/>
      <c r="J642" s="1204"/>
      <c r="K642" s="1199"/>
      <c r="L642" s="1199"/>
      <c r="M642" s="672" t="s">
        <v>124</v>
      </c>
      <c r="N642" s="550"/>
      <c r="O642" s="544">
        <v>600</v>
      </c>
      <c r="P642" s="544">
        <v>0</v>
      </c>
      <c r="Q642" s="675">
        <v>0</v>
      </c>
    </row>
    <row r="643" spans="2:17" ht="16.5" thickBot="1" x14ac:dyDescent="0.3">
      <c r="B643" s="1205"/>
      <c r="C643" s="1208"/>
      <c r="D643" s="628"/>
      <c r="E643" s="1208"/>
      <c r="F643" s="1202"/>
      <c r="G643" s="1202"/>
      <c r="H643" s="1205"/>
      <c r="I643" s="1208"/>
      <c r="J643" s="1205"/>
      <c r="K643" s="1208"/>
      <c r="L643" s="1208"/>
      <c r="M643" s="547" t="s">
        <v>745</v>
      </c>
      <c r="N643" s="549"/>
      <c r="O643" s="551">
        <v>0</v>
      </c>
      <c r="P643" s="551">
        <v>0</v>
      </c>
      <c r="Q643" s="552">
        <v>0</v>
      </c>
    </row>
    <row r="644" spans="2:17" ht="16.5" thickBot="1" x14ac:dyDescent="0.3">
      <c r="B644" s="1204" t="s">
        <v>173</v>
      </c>
      <c r="C644" s="1199">
        <v>67721</v>
      </c>
      <c r="D644" s="689" t="s">
        <v>288</v>
      </c>
      <c r="E644" s="1199" t="s">
        <v>505</v>
      </c>
      <c r="F644" s="1201" t="s">
        <v>1029</v>
      </c>
      <c r="G644" s="1201" t="s">
        <v>190</v>
      </c>
      <c r="H644" s="1204" t="s">
        <v>240</v>
      </c>
      <c r="I644" s="1199" t="s">
        <v>263</v>
      </c>
      <c r="J644" s="1204" t="s">
        <v>528</v>
      </c>
      <c r="K644" s="1199" t="s">
        <v>199</v>
      </c>
      <c r="L644" s="1199" t="s">
        <v>199</v>
      </c>
      <c r="M644" s="672" t="s">
        <v>122</v>
      </c>
      <c r="N644" s="550"/>
      <c r="O644" s="561">
        <f>O645+O646</f>
        <v>700</v>
      </c>
      <c r="P644" s="561">
        <f>P645+P646</f>
        <v>0</v>
      </c>
      <c r="Q644" s="562">
        <f>Q645+Q646</f>
        <v>0</v>
      </c>
    </row>
    <row r="645" spans="2:17" ht="16.5" thickBot="1" x14ac:dyDescent="0.3">
      <c r="B645" s="1204"/>
      <c r="C645" s="1199"/>
      <c r="D645" s="609"/>
      <c r="E645" s="1199"/>
      <c r="F645" s="1201"/>
      <c r="G645" s="1201"/>
      <c r="H645" s="1204"/>
      <c r="I645" s="1199"/>
      <c r="J645" s="1204"/>
      <c r="K645" s="1199"/>
      <c r="L645" s="1199"/>
      <c r="M645" s="636" t="s">
        <v>123</v>
      </c>
      <c r="N645" s="549"/>
      <c r="O645" s="544">
        <v>0</v>
      </c>
      <c r="P645" s="544">
        <v>0</v>
      </c>
      <c r="Q645" s="675">
        <v>0</v>
      </c>
    </row>
    <row r="646" spans="2:17" ht="16.5" thickBot="1" x14ac:dyDescent="0.3">
      <c r="B646" s="1204"/>
      <c r="C646" s="1199"/>
      <c r="D646" s="609"/>
      <c r="E646" s="1199"/>
      <c r="F646" s="1201"/>
      <c r="G646" s="1201"/>
      <c r="H646" s="1204"/>
      <c r="I646" s="1199"/>
      <c r="J646" s="1204"/>
      <c r="K646" s="1199"/>
      <c r="L646" s="1199"/>
      <c r="M646" s="672" t="s">
        <v>124</v>
      </c>
      <c r="N646" s="550"/>
      <c r="O646" s="544">
        <v>700</v>
      </c>
      <c r="P646" s="544">
        <v>0</v>
      </c>
      <c r="Q646" s="675">
        <v>0</v>
      </c>
    </row>
    <row r="647" spans="2:17" ht="16.5" thickBot="1" x14ac:dyDescent="0.3">
      <c r="B647" s="1204"/>
      <c r="C647" s="1199"/>
      <c r="D647" s="688"/>
      <c r="E647" s="1199"/>
      <c r="F647" s="1201"/>
      <c r="G647" s="1201"/>
      <c r="H647" s="1204"/>
      <c r="I647" s="1199"/>
      <c r="J647" s="1204"/>
      <c r="K647" s="1199"/>
      <c r="L647" s="1199"/>
      <c r="M647" s="671" t="s">
        <v>745</v>
      </c>
      <c r="N647" s="543"/>
      <c r="O647" s="544">
        <v>0</v>
      </c>
      <c r="P647" s="544">
        <v>0</v>
      </c>
      <c r="Q647" s="675">
        <v>0</v>
      </c>
    </row>
    <row r="648" spans="2:17" ht="16.5" thickBot="1" x14ac:dyDescent="0.3">
      <c r="B648" s="1206" t="s">
        <v>173</v>
      </c>
      <c r="C648" s="1207">
        <v>67721</v>
      </c>
      <c r="D648" s="620" t="s">
        <v>288</v>
      </c>
      <c r="E648" s="1207" t="s">
        <v>505</v>
      </c>
      <c r="F648" s="1200" t="s">
        <v>1030</v>
      </c>
      <c r="G648" s="1200" t="s">
        <v>190</v>
      </c>
      <c r="H648" s="1206" t="s">
        <v>240</v>
      </c>
      <c r="I648" s="1207" t="s">
        <v>263</v>
      </c>
      <c r="J648" s="1206" t="s">
        <v>528</v>
      </c>
      <c r="K648" s="1207" t="s">
        <v>199</v>
      </c>
      <c r="L648" s="1207" t="s">
        <v>199</v>
      </c>
      <c r="M648" s="542" t="s">
        <v>122</v>
      </c>
      <c r="N648" s="543"/>
      <c r="O648" s="544">
        <f>O649+O650</f>
        <v>724.71</v>
      </c>
      <c r="P648" s="544">
        <f>P649+P650</f>
        <v>0</v>
      </c>
      <c r="Q648" s="675">
        <f>Q649+Q650</f>
        <v>0</v>
      </c>
    </row>
    <row r="649" spans="2:17" ht="16.5" thickBot="1" x14ac:dyDescent="0.3">
      <c r="B649" s="1204"/>
      <c r="C649" s="1199"/>
      <c r="D649" s="609"/>
      <c r="E649" s="1199"/>
      <c r="F649" s="1201"/>
      <c r="G649" s="1201"/>
      <c r="H649" s="1204"/>
      <c r="I649" s="1199"/>
      <c r="J649" s="1204"/>
      <c r="K649" s="1199"/>
      <c r="L649" s="1199"/>
      <c r="M649" s="636" t="s">
        <v>123</v>
      </c>
      <c r="N649" s="549"/>
      <c r="O649" s="544">
        <v>0</v>
      </c>
      <c r="P649" s="544">
        <v>0</v>
      </c>
      <c r="Q649" s="675">
        <v>0</v>
      </c>
    </row>
    <row r="650" spans="2:17" ht="16.5" thickBot="1" x14ac:dyDescent="0.3">
      <c r="B650" s="1204"/>
      <c r="C650" s="1199"/>
      <c r="D650" s="609"/>
      <c r="E650" s="1199"/>
      <c r="F650" s="1201"/>
      <c r="G650" s="1201"/>
      <c r="H650" s="1204"/>
      <c r="I650" s="1199"/>
      <c r="J650" s="1204"/>
      <c r="K650" s="1199"/>
      <c r="L650" s="1199"/>
      <c r="M650" s="672" t="s">
        <v>124</v>
      </c>
      <c r="N650" s="550"/>
      <c r="O650" s="544">
        <v>724.71</v>
      </c>
      <c r="P650" s="544">
        <v>0</v>
      </c>
      <c r="Q650" s="675">
        <v>0</v>
      </c>
    </row>
    <row r="651" spans="2:17" ht="16.5" thickBot="1" x14ac:dyDescent="0.3">
      <c r="B651" s="1205"/>
      <c r="C651" s="1208"/>
      <c r="D651" s="628"/>
      <c r="E651" s="1208"/>
      <c r="F651" s="1202"/>
      <c r="G651" s="1202"/>
      <c r="H651" s="1205"/>
      <c r="I651" s="1208"/>
      <c r="J651" s="1205"/>
      <c r="K651" s="1208"/>
      <c r="L651" s="1208"/>
      <c r="M651" s="547" t="s">
        <v>745</v>
      </c>
      <c r="N651" s="549"/>
      <c r="O651" s="551">
        <v>0</v>
      </c>
      <c r="P651" s="551">
        <v>0</v>
      </c>
      <c r="Q651" s="552">
        <v>0</v>
      </c>
    </row>
    <row r="652" spans="2:17" ht="16.5" thickBot="1" x14ac:dyDescent="0.3">
      <c r="B652" s="1206" t="s">
        <v>173</v>
      </c>
      <c r="C652" s="1207">
        <v>67721</v>
      </c>
      <c r="D652" s="620" t="s">
        <v>288</v>
      </c>
      <c r="E652" s="1207" t="s">
        <v>505</v>
      </c>
      <c r="F652" s="1200" t="s">
        <v>1031</v>
      </c>
      <c r="G652" s="1200" t="s">
        <v>190</v>
      </c>
      <c r="H652" s="1206" t="s">
        <v>240</v>
      </c>
      <c r="I652" s="1207" t="s">
        <v>263</v>
      </c>
      <c r="J652" s="1206" t="s">
        <v>528</v>
      </c>
      <c r="K652" s="1207" t="s">
        <v>199</v>
      </c>
      <c r="L652" s="1207" t="s">
        <v>199</v>
      </c>
      <c r="M652" s="542" t="s">
        <v>122</v>
      </c>
      <c r="N652" s="543"/>
      <c r="O652" s="544">
        <f>O653+O654</f>
        <v>60000</v>
      </c>
      <c r="P652" s="544">
        <f>P653+P654</f>
        <v>0</v>
      </c>
      <c r="Q652" s="675">
        <f>Q653+Q654</f>
        <v>0</v>
      </c>
    </row>
    <row r="653" spans="2:17" ht="16.5" thickBot="1" x14ac:dyDescent="0.3">
      <c r="B653" s="1204"/>
      <c r="C653" s="1199"/>
      <c r="D653" s="609"/>
      <c r="E653" s="1199"/>
      <c r="F653" s="1201"/>
      <c r="G653" s="1201"/>
      <c r="H653" s="1204"/>
      <c r="I653" s="1199"/>
      <c r="J653" s="1204"/>
      <c r="K653" s="1199"/>
      <c r="L653" s="1199"/>
      <c r="M653" s="636" t="s">
        <v>123</v>
      </c>
      <c r="N653" s="549"/>
      <c r="O653" s="544">
        <v>0</v>
      </c>
      <c r="P653" s="544">
        <v>0</v>
      </c>
      <c r="Q653" s="675">
        <v>0</v>
      </c>
    </row>
    <row r="654" spans="2:17" ht="16.5" thickBot="1" x14ac:dyDescent="0.3">
      <c r="B654" s="1204"/>
      <c r="C654" s="1199"/>
      <c r="D654" s="609"/>
      <c r="E654" s="1199"/>
      <c r="F654" s="1201"/>
      <c r="G654" s="1201"/>
      <c r="H654" s="1204"/>
      <c r="I654" s="1199"/>
      <c r="J654" s="1204"/>
      <c r="K654" s="1199"/>
      <c r="L654" s="1199"/>
      <c r="M654" s="672" t="s">
        <v>124</v>
      </c>
      <c r="N654" s="550"/>
      <c r="O654" s="544">
        <v>60000</v>
      </c>
      <c r="P654" s="544">
        <v>0</v>
      </c>
      <c r="Q654" s="675">
        <v>0</v>
      </c>
    </row>
    <row r="655" spans="2:17" ht="16.5" thickBot="1" x14ac:dyDescent="0.3">
      <c r="B655" s="1205"/>
      <c r="C655" s="1208"/>
      <c r="D655" s="628"/>
      <c r="E655" s="1208"/>
      <c r="F655" s="1202"/>
      <c r="G655" s="1202"/>
      <c r="H655" s="1205"/>
      <c r="I655" s="1208"/>
      <c r="J655" s="1205"/>
      <c r="K655" s="1208"/>
      <c r="L655" s="1208"/>
      <c r="M655" s="547" t="s">
        <v>745</v>
      </c>
      <c r="N655" s="549"/>
      <c r="O655" s="551">
        <v>0</v>
      </c>
      <c r="P655" s="551">
        <v>0</v>
      </c>
      <c r="Q655" s="552">
        <v>0</v>
      </c>
    </row>
    <row r="656" spans="2:17" ht="39" customHeight="1" thickBot="1" x14ac:dyDescent="0.3">
      <c r="B656" s="1204" t="s">
        <v>173</v>
      </c>
      <c r="C656" s="1199">
        <v>67721</v>
      </c>
      <c r="D656" s="689" t="s">
        <v>288</v>
      </c>
      <c r="E656" s="1199" t="s">
        <v>505</v>
      </c>
      <c r="F656" s="1201" t="s">
        <v>1045</v>
      </c>
      <c r="G656" s="1201" t="s">
        <v>190</v>
      </c>
      <c r="H656" s="1204" t="s">
        <v>240</v>
      </c>
      <c r="I656" s="1199" t="s">
        <v>199</v>
      </c>
      <c r="J656" s="1207" t="s">
        <v>199</v>
      </c>
      <c r="K656" s="1199">
        <v>1</v>
      </c>
      <c r="L656" s="1199">
        <v>1</v>
      </c>
      <c r="M656" s="672" t="s">
        <v>122</v>
      </c>
      <c r="N656" s="550"/>
      <c r="O656" s="561">
        <f>O657+O658</f>
        <v>0</v>
      </c>
      <c r="P656" s="561">
        <f>P657+P658</f>
        <v>34000</v>
      </c>
      <c r="Q656" s="562">
        <f>Q657+Q658</f>
        <v>34000</v>
      </c>
    </row>
    <row r="657" spans="2:29" ht="39" customHeight="1" thickBot="1" x14ac:dyDescent="0.3">
      <c r="B657" s="1204"/>
      <c r="C657" s="1199"/>
      <c r="D657" s="609"/>
      <c r="E657" s="1199"/>
      <c r="F657" s="1201"/>
      <c r="G657" s="1201"/>
      <c r="H657" s="1204"/>
      <c r="I657" s="1199"/>
      <c r="J657" s="1199"/>
      <c r="K657" s="1199"/>
      <c r="L657" s="1199"/>
      <c r="M657" s="636" t="s">
        <v>123</v>
      </c>
      <c r="N657" s="549"/>
      <c r="O657" s="544">
        <v>0</v>
      </c>
      <c r="P657" s="544">
        <v>0</v>
      </c>
      <c r="Q657" s="675">
        <v>0</v>
      </c>
    </row>
    <row r="658" spans="2:29" ht="39" customHeight="1" thickBot="1" x14ac:dyDescent="0.3">
      <c r="B658" s="1204"/>
      <c r="C658" s="1199"/>
      <c r="D658" s="609"/>
      <c r="E658" s="1199"/>
      <c r="F658" s="1201"/>
      <c r="G658" s="1201"/>
      <c r="H658" s="1204"/>
      <c r="I658" s="1199"/>
      <c r="J658" s="1199"/>
      <c r="K658" s="1199"/>
      <c r="L658" s="1199"/>
      <c r="M658" s="672" t="s">
        <v>124</v>
      </c>
      <c r="N658" s="550"/>
      <c r="O658" s="544">
        <v>0</v>
      </c>
      <c r="P658" s="544">
        <v>34000</v>
      </c>
      <c r="Q658" s="675">
        <v>34000</v>
      </c>
    </row>
    <row r="659" spans="2:29" ht="39" customHeight="1" thickBot="1" x14ac:dyDescent="0.3">
      <c r="B659" s="1205"/>
      <c r="C659" s="1208"/>
      <c r="D659" s="628"/>
      <c r="E659" s="1208"/>
      <c r="F659" s="1202"/>
      <c r="G659" s="1201"/>
      <c r="H659" s="1205"/>
      <c r="I659" s="1208"/>
      <c r="J659" s="1208"/>
      <c r="K659" s="1208"/>
      <c r="L659" s="1208"/>
      <c r="M659" s="547" t="s">
        <v>745</v>
      </c>
      <c r="N659" s="549"/>
      <c r="O659" s="551">
        <v>0</v>
      </c>
      <c r="P659" s="551">
        <v>0</v>
      </c>
      <c r="Q659" s="552">
        <v>0</v>
      </c>
    </row>
    <row r="660" spans="2:29" ht="60.75" customHeight="1" thickBot="1" x14ac:dyDescent="0.3">
      <c r="B660" s="1206" t="s">
        <v>174</v>
      </c>
      <c r="C660" s="1229" t="s">
        <v>116</v>
      </c>
      <c r="D660" s="1207" t="s">
        <v>116</v>
      </c>
      <c r="E660" s="1207" t="s">
        <v>116</v>
      </c>
      <c r="F660" s="1229" t="s">
        <v>597</v>
      </c>
      <c r="G660" s="1200" t="s">
        <v>1065</v>
      </c>
      <c r="H660" s="1207" t="s">
        <v>241</v>
      </c>
      <c r="I660" s="1416">
        <f>I666</f>
        <v>157</v>
      </c>
      <c r="J660" s="1206" t="s">
        <v>528</v>
      </c>
      <c r="K660" s="1207">
        <f>K666</f>
        <v>157</v>
      </c>
      <c r="L660" s="1207">
        <f>L666</f>
        <v>157</v>
      </c>
      <c r="M660" s="542" t="s">
        <v>122</v>
      </c>
      <c r="N660" s="1248">
        <f>N666+N678+N694+N701</f>
        <v>0</v>
      </c>
      <c r="O660" s="698">
        <f t="shared" ref="O660:Q663" si="12">O666+O678+O690</f>
        <v>8286.4</v>
      </c>
      <c r="P660" s="698">
        <f t="shared" si="12"/>
        <v>8286.4</v>
      </c>
      <c r="Q660" s="656">
        <f t="shared" si="12"/>
        <v>8286.4</v>
      </c>
      <c r="R660" s="51">
        <v>8286.4</v>
      </c>
      <c r="S660" s="51">
        <v>8286.4</v>
      </c>
      <c r="T660" s="51">
        <v>8286.4</v>
      </c>
      <c r="V660" s="51">
        <v>8286.4</v>
      </c>
      <c r="W660" s="51">
        <v>8286.4</v>
      </c>
      <c r="X660" s="51">
        <v>8286.4</v>
      </c>
      <c r="Z660" s="776">
        <f>V660-O660</f>
        <v>0</v>
      </c>
      <c r="AA660" s="776">
        <f>W660-P660</f>
        <v>0</v>
      </c>
      <c r="AB660" s="776">
        <f>X660-Q660</f>
        <v>0</v>
      </c>
    </row>
    <row r="661" spans="2:29" s="48" customFormat="1" ht="16.5" thickBot="1" x14ac:dyDescent="0.3">
      <c r="B661" s="1204"/>
      <c r="C661" s="1230"/>
      <c r="D661" s="1199"/>
      <c r="E661" s="1199"/>
      <c r="F661" s="1230"/>
      <c r="G661" s="1235"/>
      <c r="H661" s="1237"/>
      <c r="I661" s="1417"/>
      <c r="J661" s="1204"/>
      <c r="K661" s="1237"/>
      <c r="L661" s="1237"/>
      <c r="M661" s="636" t="s">
        <v>123</v>
      </c>
      <c r="N661" s="1249"/>
      <c r="O661" s="699">
        <f t="shared" si="12"/>
        <v>0</v>
      </c>
      <c r="P661" s="699">
        <f t="shared" si="12"/>
        <v>0</v>
      </c>
      <c r="Q661" s="597">
        <f t="shared" si="12"/>
        <v>0</v>
      </c>
      <c r="R661" s="707">
        <f>R660-O660</f>
        <v>0</v>
      </c>
      <c r="S661" s="707">
        <f>S660-P660</f>
        <v>0</v>
      </c>
      <c r="T661" s="707">
        <f>T660-Q660</f>
        <v>0</v>
      </c>
      <c r="U661" s="707"/>
      <c r="V661" s="707"/>
      <c r="W661" s="707"/>
      <c r="X661" s="707"/>
      <c r="Y661" s="707"/>
      <c r="Z661" s="686"/>
      <c r="AA661" s="686"/>
      <c r="AB661" s="686"/>
      <c r="AC661" s="707"/>
    </row>
    <row r="662" spans="2:29" s="48" customFormat="1" ht="72.75" customHeight="1" thickBot="1" x14ac:dyDescent="0.3">
      <c r="B662" s="1204"/>
      <c r="C662" s="1230"/>
      <c r="D662" s="1199"/>
      <c r="E662" s="1199"/>
      <c r="F662" s="1230"/>
      <c r="G662" s="1234" t="s">
        <v>653</v>
      </c>
      <c r="H662" s="1236" t="s">
        <v>240</v>
      </c>
      <c r="I662" s="1236">
        <v>5</v>
      </c>
      <c r="J662" s="1204"/>
      <c r="K662" s="1236">
        <v>5</v>
      </c>
      <c r="L662" s="1236">
        <v>5</v>
      </c>
      <c r="M662" s="672" t="s">
        <v>124</v>
      </c>
      <c r="N662" s="1249"/>
      <c r="O662" s="699">
        <f t="shared" si="12"/>
        <v>8286.4</v>
      </c>
      <c r="P662" s="699">
        <f t="shared" si="12"/>
        <v>8286.4</v>
      </c>
      <c r="Q662" s="597">
        <f t="shared" si="12"/>
        <v>8286.4</v>
      </c>
      <c r="R662" s="707"/>
      <c r="S662" s="707"/>
      <c r="T662" s="707"/>
      <c r="U662" s="707"/>
      <c r="V662" s="707"/>
      <c r="W662" s="707"/>
      <c r="X662" s="707"/>
      <c r="Y662" s="707"/>
      <c r="Z662" s="686"/>
      <c r="AA662" s="686"/>
      <c r="AB662" s="686"/>
      <c r="AC662" s="707"/>
    </row>
    <row r="663" spans="2:29" s="48" customFormat="1" ht="16.5" thickBot="1" x14ac:dyDescent="0.3">
      <c r="B663" s="1204"/>
      <c r="C663" s="1230"/>
      <c r="D663" s="1199"/>
      <c r="E663" s="1199"/>
      <c r="F663" s="1230"/>
      <c r="G663" s="1235"/>
      <c r="H663" s="1237"/>
      <c r="I663" s="1237"/>
      <c r="J663" s="1204"/>
      <c r="K663" s="1237"/>
      <c r="L663" s="1237"/>
      <c r="M663" s="547" t="s">
        <v>745</v>
      </c>
      <c r="N663" s="1249"/>
      <c r="O663" s="699">
        <f t="shared" si="12"/>
        <v>0</v>
      </c>
      <c r="P663" s="699">
        <f t="shared" si="12"/>
        <v>0</v>
      </c>
      <c r="Q663" s="597">
        <f t="shared" si="12"/>
        <v>0</v>
      </c>
      <c r="R663" s="707"/>
      <c r="S663" s="707"/>
      <c r="T663" s="707"/>
      <c r="U663" s="707"/>
      <c r="V663" s="707"/>
      <c r="W663" s="707"/>
      <c r="X663" s="707"/>
      <c r="Y663" s="707"/>
      <c r="Z663" s="686"/>
      <c r="AA663" s="686"/>
      <c r="AB663" s="686"/>
      <c r="AC663" s="707"/>
    </row>
    <row r="664" spans="2:29" s="48" customFormat="1" ht="48" customHeight="1" x14ac:dyDescent="0.25">
      <c r="B664" s="1204"/>
      <c r="C664" s="1230"/>
      <c r="D664" s="1199"/>
      <c r="E664" s="1199"/>
      <c r="F664" s="1230"/>
      <c r="G664" s="1234" t="s">
        <v>654</v>
      </c>
      <c r="H664" s="1236" t="s">
        <v>240</v>
      </c>
      <c r="I664" s="1236">
        <v>24</v>
      </c>
      <c r="J664" s="1204"/>
      <c r="K664" s="1236">
        <v>24</v>
      </c>
      <c r="L664" s="1236">
        <v>24</v>
      </c>
      <c r="M664" s="1206"/>
      <c r="N664" s="1249"/>
      <c r="O664" s="1211"/>
      <c r="P664" s="1211"/>
      <c r="Q664" s="1213"/>
      <c r="R664" s="707"/>
      <c r="S664" s="707"/>
      <c r="T664" s="707"/>
      <c r="U664" s="707"/>
      <c r="V664" s="707"/>
      <c r="W664" s="707"/>
      <c r="X664" s="707"/>
      <c r="Y664" s="707"/>
      <c r="Z664" s="686"/>
      <c r="AA664" s="686"/>
      <c r="AB664" s="686"/>
      <c r="AC664" s="707"/>
    </row>
    <row r="665" spans="2:29" s="48" customFormat="1" ht="16.5" thickBot="1" x14ac:dyDescent="0.3">
      <c r="B665" s="1205"/>
      <c r="C665" s="1231"/>
      <c r="D665" s="1208"/>
      <c r="E665" s="1208"/>
      <c r="F665" s="1231"/>
      <c r="G665" s="1202"/>
      <c r="H665" s="1208"/>
      <c r="I665" s="1208"/>
      <c r="J665" s="1205"/>
      <c r="K665" s="1208"/>
      <c r="L665" s="1208"/>
      <c r="M665" s="1205"/>
      <c r="N665" s="1279"/>
      <c r="O665" s="1212"/>
      <c r="P665" s="1212"/>
      <c r="Q665" s="1214"/>
      <c r="R665" s="707"/>
      <c r="S665" s="707"/>
      <c r="T665" s="707"/>
      <c r="U665" s="707"/>
      <c r="V665" s="707"/>
      <c r="W665" s="707"/>
      <c r="X665" s="707"/>
      <c r="Y665" s="707"/>
      <c r="Z665" s="686"/>
      <c r="AA665" s="686"/>
      <c r="AB665" s="686"/>
      <c r="AC665" s="707"/>
    </row>
    <row r="666" spans="2:29" ht="16.5" thickBot="1" x14ac:dyDescent="0.3">
      <c r="B666" s="1206" t="s">
        <v>174</v>
      </c>
      <c r="C666" s="1308">
        <v>66539</v>
      </c>
      <c r="D666" s="704" t="s">
        <v>116</v>
      </c>
      <c r="E666" s="1232" t="s">
        <v>116</v>
      </c>
      <c r="F666" s="1200" t="s">
        <v>1058</v>
      </c>
      <c r="G666" s="1207" t="s">
        <v>456</v>
      </c>
      <c r="H666" s="1232" t="s">
        <v>241</v>
      </c>
      <c r="I666" s="1416">
        <f>I670+I674</f>
        <v>157</v>
      </c>
      <c r="J666" s="1206" t="s">
        <v>528</v>
      </c>
      <c r="K666" s="1232">
        <f>K670+K674</f>
        <v>157</v>
      </c>
      <c r="L666" s="1232">
        <f>L670+L674</f>
        <v>157</v>
      </c>
      <c r="M666" s="542" t="s">
        <v>122</v>
      </c>
      <c r="N666" s="549"/>
      <c r="O666" s="797">
        <f>O667+O668+O669</f>
        <v>2336.4</v>
      </c>
      <c r="P666" s="552">
        <f>P667+P668+P669</f>
        <v>2336.4</v>
      </c>
      <c r="Q666" s="552">
        <f>Q667+Q668+Q669</f>
        <v>2336.4</v>
      </c>
    </row>
    <row r="667" spans="2:29" ht="16.5" thickBot="1" x14ac:dyDescent="0.3">
      <c r="B667" s="1204"/>
      <c r="C667" s="1259"/>
      <c r="D667" s="694"/>
      <c r="E667" s="1209"/>
      <c r="F667" s="1201"/>
      <c r="G667" s="1199"/>
      <c r="H667" s="1209"/>
      <c r="I667" s="1418"/>
      <c r="J667" s="1204"/>
      <c r="K667" s="1209"/>
      <c r="L667" s="1209"/>
      <c r="M667" s="636" t="s">
        <v>123</v>
      </c>
      <c r="N667" s="550"/>
      <c r="O667" s="681">
        <v>0</v>
      </c>
      <c r="P667" s="552">
        <v>0</v>
      </c>
      <c r="Q667" s="552">
        <v>0</v>
      </c>
    </row>
    <row r="668" spans="2:29" ht="16.5" thickBot="1" x14ac:dyDescent="0.3">
      <c r="B668" s="1204"/>
      <c r="C668" s="1259"/>
      <c r="D668" s="694"/>
      <c r="E668" s="1209"/>
      <c r="F668" s="1201"/>
      <c r="G668" s="1199"/>
      <c r="H668" s="1209"/>
      <c r="I668" s="1418"/>
      <c r="J668" s="1204"/>
      <c r="K668" s="1209"/>
      <c r="L668" s="1209"/>
      <c r="M668" s="672" t="s">
        <v>124</v>
      </c>
      <c r="N668" s="550"/>
      <c r="O668" s="551">
        <f>O672+O676</f>
        <v>2336.4</v>
      </c>
      <c r="P668" s="551">
        <f>P672+P676</f>
        <v>2336.4</v>
      </c>
      <c r="Q668" s="552">
        <f>Q672+Q676</f>
        <v>2336.4</v>
      </c>
    </row>
    <row r="669" spans="2:29" ht="16.5" thickBot="1" x14ac:dyDescent="0.3">
      <c r="B669" s="1205"/>
      <c r="C669" s="1260"/>
      <c r="D669" s="704"/>
      <c r="E669" s="1210"/>
      <c r="F669" s="1202"/>
      <c r="G669" s="1208"/>
      <c r="H669" s="1210"/>
      <c r="I669" s="1419"/>
      <c r="J669" s="1205"/>
      <c r="K669" s="1210"/>
      <c r="L669" s="1210"/>
      <c r="M669" s="547" t="s">
        <v>745</v>
      </c>
      <c r="N669" s="563"/>
      <c r="O669" s="681">
        <v>0</v>
      </c>
      <c r="P669" s="676">
        <v>0</v>
      </c>
      <c r="Q669" s="676">
        <v>0</v>
      </c>
    </row>
    <row r="670" spans="2:29" ht="24" customHeight="1" thickBot="1" x14ac:dyDescent="0.3">
      <c r="B670" s="1206" t="s">
        <v>174</v>
      </c>
      <c r="C670" s="1207">
        <v>66539</v>
      </c>
      <c r="D670" s="654">
        <v>10108</v>
      </c>
      <c r="E670" s="1207" t="s">
        <v>192</v>
      </c>
      <c r="F670" s="1200" t="s">
        <v>376</v>
      </c>
      <c r="G670" s="1200" t="s">
        <v>677</v>
      </c>
      <c r="H670" s="1207" t="s">
        <v>241</v>
      </c>
      <c r="I670" s="1207">
        <v>90</v>
      </c>
      <c r="J670" s="1206" t="s">
        <v>528</v>
      </c>
      <c r="K670" s="1207">
        <v>90</v>
      </c>
      <c r="L670" s="1207">
        <v>90</v>
      </c>
      <c r="M670" s="542" t="s">
        <v>122</v>
      </c>
      <c r="N670" s="543"/>
      <c r="O670" s="544">
        <f>O671+O672+O673</f>
        <v>1452</v>
      </c>
      <c r="P670" s="544">
        <f>P671+P672+P673</f>
        <v>1452</v>
      </c>
      <c r="Q670" s="675">
        <f>Q671+Q672+Q673</f>
        <v>1452</v>
      </c>
    </row>
    <row r="671" spans="2:29" ht="24" customHeight="1" thickBot="1" x14ac:dyDescent="0.3">
      <c r="B671" s="1204"/>
      <c r="C671" s="1199"/>
      <c r="D671" s="555"/>
      <c r="E671" s="1199"/>
      <c r="F671" s="1201"/>
      <c r="G671" s="1201"/>
      <c r="H671" s="1199"/>
      <c r="I671" s="1199"/>
      <c r="J671" s="1204"/>
      <c r="K671" s="1199"/>
      <c r="L671" s="1199"/>
      <c r="M671" s="636" t="s">
        <v>123</v>
      </c>
      <c r="N671" s="549"/>
      <c r="O671" s="544">
        <v>0</v>
      </c>
      <c r="P671" s="544">
        <v>0</v>
      </c>
      <c r="Q671" s="675">
        <v>0</v>
      </c>
    </row>
    <row r="672" spans="2:29" ht="24" customHeight="1" thickBot="1" x14ac:dyDescent="0.3">
      <c r="B672" s="1204"/>
      <c r="C672" s="1199"/>
      <c r="D672" s="555"/>
      <c r="E672" s="1199"/>
      <c r="F672" s="1201"/>
      <c r="G672" s="1201"/>
      <c r="H672" s="1199"/>
      <c r="I672" s="1199"/>
      <c r="J672" s="1204"/>
      <c r="K672" s="1199"/>
      <c r="L672" s="1199"/>
      <c r="M672" s="672" t="s">
        <v>124</v>
      </c>
      <c r="N672" s="550"/>
      <c r="O672" s="544">
        <v>1452</v>
      </c>
      <c r="P672" s="544">
        <v>1452</v>
      </c>
      <c r="Q672" s="675">
        <v>1452</v>
      </c>
    </row>
    <row r="673" spans="2:17" ht="24" customHeight="1" thickBot="1" x14ac:dyDescent="0.3">
      <c r="B673" s="1205"/>
      <c r="C673" s="1208"/>
      <c r="D673" s="558"/>
      <c r="E673" s="1208"/>
      <c r="F673" s="1202"/>
      <c r="G673" s="1202"/>
      <c r="H673" s="1208"/>
      <c r="I673" s="1208"/>
      <c r="J673" s="1205"/>
      <c r="K673" s="1208"/>
      <c r="L673" s="1208"/>
      <c r="M673" s="547" t="s">
        <v>745</v>
      </c>
      <c r="N673" s="549"/>
      <c r="O673" s="551">
        <v>0</v>
      </c>
      <c r="P673" s="551">
        <v>0</v>
      </c>
      <c r="Q673" s="552">
        <v>0</v>
      </c>
    </row>
    <row r="674" spans="2:17" ht="24" customHeight="1" thickBot="1" x14ac:dyDescent="0.3">
      <c r="B674" s="1206" t="s">
        <v>174</v>
      </c>
      <c r="C674" s="1207">
        <v>66539</v>
      </c>
      <c r="D674" s="682">
        <v>10108</v>
      </c>
      <c r="E674" s="1199" t="s">
        <v>192</v>
      </c>
      <c r="F674" s="1201" t="s">
        <v>375</v>
      </c>
      <c r="G674" s="1201" t="s">
        <v>676</v>
      </c>
      <c r="H674" s="1199" t="s">
        <v>241</v>
      </c>
      <c r="I674" s="1199">
        <v>67</v>
      </c>
      <c r="J674" s="1206" t="s">
        <v>528</v>
      </c>
      <c r="K674" s="1199">
        <v>67</v>
      </c>
      <c r="L674" s="1199">
        <v>67</v>
      </c>
      <c r="M674" s="672" t="s">
        <v>122</v>
      </c>
      <c r="N674" s="550"/>
      <c r="O674" s="561">
        <f>O675+O676+O677</f>
        <v>884.4</v>
      </c>
      <c r="P674" s="561">
        <f>P675+P676+P677</f>
        <v>884.4</v>
      </c>
      <c r="Q674" s="562">
        <f>Q675+Q676+Q677</f>
        <v>884.4</v>
      </c>
    </row>
    <row r="675" spans="2:17" ht="24" customHeight="1" thickBot="1" x14ac:dyDescent="0.3">
      <c r="B675" s="1204"/>
      <c r="C675" s="1199"/>
      <c r="D675" s="555"/>
      <c r="E675" s="1199"/>
      <c r="F675" s="1201"/>
      <c r="G675" s="1201"/>
      <c r="H675" s="1199"/>
      <c r="I675" s="1199"/>
      <c r="J675" s="1204"/>
      <c r="K675" s="1199"/>
      <c r="L675" s="1199"/>
      <c r="M675" s="636" t="s">
        <v>123</v>
      </c>
      <c r="N675" s="549"/>
      <c r="O675" s="544">
        <v>0</v>
      </c>
      <c r="P675" s="544">
        <v>0</v>
      </c>
      <c r="Q675" s="675">
        <v>0</v>
      </c>
    </row>
    <row r="676" spans="2:17" ht="24" customHeight="1" thickBot="1" x14ac:dyDescent="0.3">
      <c r="B676" s="1204"/>
      <c r="C676" s="1199"/>
      <c r="D676" s="555"/>
      <c r="E676" s="1199"/>
      <c r="F676" s="1201"/>
      <c r="G676" s="1201"/>
      <c r="H676" s="1199"/>
      <c r="I676" s="1199"/>
      <c r="J676" s="1204"/>
      <c r="K676" s="1199"/>
      <c r="L676" s="1199"/>
      <c r="M676" s="672" t="s">
        <v>124</v>
      </c>
      <c r="N676" s="550"/>
      <c r="O676" s="544">
        <v>884.4</v>
      </c>
      <c r="P676" s="544">
        <v>884.4</v>
      </c>
      <c r="Q676" s="675">
        <v>884.4</v>
      </c>
    </row>
    <row r="677" spans="2:17" ht="24" customHeight="1" thickBot="1" x14ac:dyDescent="0.3">
      <c r="B677" s="1205"/>
      <c r="C677" s="1208"/>
      <c r="D677" s="555"/>
      <c r="E677" s="1237"/>
      <c r="F677" s="1235"/>
      <c r="G677" s="1235"/>
      <c r="H677" s="1237"/>
      <c r="I677" s="1237"/>
      <c r="J677" s="1205"/>
      <c r="K677" s="1237"/>
      <c r="L677" s="1237"/>
      <c r="M677" s="547" t="s">
        <v>745</v>
      </c>
      <c r="N677" s="549"/>
      <c r="O677" s="551">
        <v>0</v>
      </c>
      <c r="P677" s="551">
        <v>0</v>
      </c>
      <c r="Q677" s="552">
        <v>0</v>
      </c>
    </row>
    <row r="678" spans="2:17" ht="16.5" thickBot="1" x14ac:dyDescent="0.3">
      <c r="B678" s="1206" t="s">
        <v>174</v>
      </c>
      <c r="C678" s="1308">
        <v>66442</v>
      </c>
      <c r="D678" s="704" t="s">
        <v>116</v>
      </c>
      <c r="E678" s="1232" t="s">
        <v>116</v>
      </c>
      <c r="F678" s="1200" t="s">
        <v>297</v>
      </c>
      <c r="G678" s="1207" t="s">
        <v>455</v>
      </c>
      <c r="H678" s="1232" t="s">
        <v>240</v>
      </c>
      <c r="I678" s="1416">
        <f>I682+I686</f>
        <v>5</v>
      </c>
      <c r="J678" s="1206" t="s">
        <v>528</v>
      </c>
      <c r="K678" s="1232">
        <f>K682+K686</f>
        <v>5</v>
      </c>
      <c r="L678" s="1232">
        <f>L682+L686</f>
        <v>5</v>
      </c>
      <c r="M678" s="542" t="s">
        <v>122</v>
      </c>
      <c r="N678" s="549"/>
      <c r="O678" s="797">
        <f>O679+O680+O681</f>
        <v>1150</v>
      </c>
      <c r="P678" s="552">
        <f>P679+P680+P681</f>
        <v>1150</v>
      </c>
      <c r="Q678" s="552">
        <f>Q679+Q680+Q681</f>
        <v>1150</v>
      </c>
    </row>
    <row r="679" spans="2:17" ht="16.5" thickBot="1" x14ac:dyDescent="0.3">
      <c r="B679" s="1204"/>
      <c r="C679" s="1259"/>
      <c r="D679" s="694"/>
      <c r="E679" s="1209"/>
      <c r="F679" s="1201"/>
      <c r="G679" s="1199"/>
      <c r="H679" s="1209"/>
      <c r="I679" s="1418"/>
      <c r="J679" s="1204"/>
      <c r="K679" s="1209"/>
      <c r="L679" s="1209"/>
      <c r="M679" s="636" t="s">
        <v>123</v>
      </c>
      <c r="N679" s="550"/>
      <c r="O679" s="681">
        <v>0</v>
      </c>
      <c r="P679" s="552">
        <v>0</v>
      </c>
      <c r="Q679" s="552">
        <v>0</v>
      </c>
    </row>
    <row r="680" spans="2:17" ht="16.5" thickBot="1" x14ac:dyDescent="0.3">
      <c r="B680" s="1204"/>
      <c r="C680" s="1259"/>
      <c r="D680" s="694"/>
      <c r="E680" s="1209"/>
      <c r="F680" s="1201"/>
      <c r="G680" s="1199"/>
      <c r="H680" s="1209"/>
      <c r="I680" s="1418"/>
      <c r="J680" s="1204"/>
      <c r="K680" s="1209"/>
      <c r="L680" s="1209"/>
      <c r="M680" s="672" t="s">
        <v>124</v>
      </c>
      <c r="N680" s="550"/>
      <c r="O680" s="551">
        <f>O684+O688</f>
        <v>1150</v>
      </c>
      <c r="P680" s="551">
        <f>P684+P688</f>
        <v>1150</v>
      </c>
      <c r="Q680" s="552">
        <f>Q684+Q688</f>
        <v>1150</v>
      </c>
    </row>
    <row r="681" spans="2:17" ht="16.5" thickBot="1" x14ac:dyDescent="0.3">
      <c r="B681" s="1205"/>
      <c r="C681" s="1260"/>
      <c r="D681" s="704"/>
      <c r="E681" s="1210"/>
      <c r="F681" s="1202"/>
      <c r="G681" s="1208"/>
      <c r="H681" s="1210"/>
      <c r="I681" s="1419"/>
      <c r="J681" s="1205"/>
      <c r="K681" s="1210"/>
      <c r="L681" s="1210"/>
      <c r="M681" s="547" t="s">
        <v>745</v>
      </c>
      <c r="N681" s="563"/>
      <c r="O681" s="681">
        <v>0</v>
      </c>
      <c r="P681" s="676">
        <v>0</v>
      </c>
      <c r="Q681" s="676">
        <v>0</v>
      </c>
    </row>
    <row r="682" spans="2:17" ht="16.5" thickBot="1" x14ac:dyDescent="0.3">
      <c r="B682" s="1240" t="s">
        <v>174</v>
      </c>
      <c r="C682" s="1236">
        <v>66442</v>
      </c>
      <c r="D682" s="609">
        <v>27300364</v>
      </c>
      <c r="E682" s="1236" t="s">
        <v>192</v>
      </c>
      <c r="F682" s="1234" t="s">
        <v>370</v>
      </c>
      <c r="G682" s="1234" t="s">
        <v>218</v>
      </c>
      <c r="H682" s="1236" t="s">
        <v>240</v>
      </c>
      <c r="I682" s="1236" t="s">
        <v>373</v>
      </c>
      <c r="J682" s="1206" t="s">
        <v>528</v>
      </c>
      <c r="K682" s="1236" t="s">
        <v>373</v>
      </c>
      <c r="L682" s="1236" t="s">
        <v>373</v>
      </c>
      <c r="M682" s="542" t="s">
        <v>122</v>
      </c>
      <c r="N682" s="543"/>
      <c r="O682" s="544">
        <f>O683+O684+O685</f>
        <v>690</v>
      </c>
      <c r="P682" s="544">
        <f>P683+P684+P685</f>
        <v>690</v>
      </c>
      <c r="Q682" s="675">
        <f>Q683+Q684+Q685</f>
        <v>690</v>
      </c>
    </row>
    <row r="683" spans="2:17" ht="16.5" thickBot="1" x14ac:dyDescent="0.3">
      <c r="B683" s="1204"/>
      <c r="C683" s="1199"/>
      <c r="D683" s="609"/>
      <c r="E683" s="1199"/>
      <c r="F683" s="1201"/>
      <c r="G683" s="1201"/>
      <c r="H683" s="1199"/>
      <c r="I683" s="1199"/>
      <c r="J683" s="1204"/>
      <c r="K683" s="1199"/>
      <c r="L683" s="1199"/>
      <c r="M683" s="636" t="s">
        <v>123</v>
      </c>
      <c r="N683" s="549"/>
      <c r="O683" s="544">
        <v>0</v>
      </c>
      <c r="P683" s="544">
        <v>0</v>
      </c>
      <c r="Q683" s="675">
        <v>0</v>
      </c>
    </row>
    <row r="684" spans="2:17" ht="16.5" thickBot="1" x14ac:dyDescent="0.3">
      <c r="B684" s="1204"/>
      <c r="C684" s="1199"/>
      <c r="D684" s="609"/>
      <c r="E684" s="1199"/>
      <c r="F684" s="1201"/>
      <c r="G684" s="1201"/>
      <c r="H684" s="1199"/>
      <c r="I684" s="1199"/>
      <c r="J684" s="1204"/>
      <c r="K684" s="1199"/>
      <c r="L684" s="1199"/>
      <c r="M684" s="672" t="s">
        <v>124</v>
      </c>
      <c r="N684" s="550"/>
      <c r="O684" s="544">
        <v>690</v>
      </c>
      <c r="P684" s="544">
        <v>690</v>
      </c>
      <c r="Q684" s="675">
        <v>690</v>
      </c>
    </row>
    <row r="685" spans="2:17" ht="16.5" thickBot="1" x14ac:dyDescent="0.3">
      <c r="B685" s="1204"/>
      <c r="C685" s="1199"/>
      <c r="D685" s="688"/>
      <c r="E685" s="1199"/>
      <c r="F685" s="1201"/>
      <c r="G685" s="1201"/>
      <c r="H685" s="1199"/>
      <c r="I685" s="1199"/>
      <c r="J685" s="1205"/>
      <c r="K685" s="1199"/>
      <c r="L685" s="1199"/>
      <c r="M685" s="671" t="s">
        <v>745</v>
      </c>
      <c r="N685" s="543"/>
      <c r="O685" s="544">
        <v>0</v>
      </c>
      <c r="P685" s="544">
        <v>0</v>
      </c>
      <c r="Q685" s="675">
        <v>0</v>
      </c>
    </row>
    <row r="686" spans="2:17" ht="16.5" thickBot="1" x14ac:dyDescent="0.3">
      <c r="B686" s="1206" t="s">
        <v>174</v>
      </c>
      <c r="C686" s="1207">
        <v>66442</v>
      </c>
      <c r="D686" s="620">
        <v>27300364</v>
      </c>
      <c r="E686" s="1207" t="s">
        <v>192</v>
      </c>
      <c r="F686" s="1200" t="s">
        <v>371</v>
      </c>
      <c r="G686" s="1200" t="s">
        <v>217</v>
      </c>
      <c r="H686" s="1207" t="s">
        <v>240</v>
      </c>
      <c r="I686" s="1207" t="s">
        <v>374</v>
      </c>
      <c r="J686" s="1206" t="s">
        <v>528</v>
      </c>
      <c r="K686" s="1207" t="s">
        <v>374</v>
      </c>
      <c r="L686" s="1207" t="s">
        <v>374</v>
      </c>
      <c r="M686" s="542" t="s">
        <v>122</v>
      </c>
      <c r="N686" s="543"/>
      <c r="O686" s="544">
        <f>O687+O688+O689</f>
        <v>460</v>
      </c>
      <c r="P686" s="544">
        <f>P687+P688+P689</f>
        <v>460</v>
      </c>
      <c r="Q686" s="675">
        <f>Q687+Q688+Q689</f>
        <v>460</v>
      </c>
    </row>
    <row r="687" spans="2:17" ht="16.5" thickBot="1" x14ac:dyDescent="0.3">
      <c r="B687" s="1204"/>
      <c r="C687" s="1199"/>
      <c r="D687" s="609"/>
      <c r="E687" s="1199"/>
      <c r="F687" s="1201"/>
      <c r="G687" s="1201"/>
      <c r="H687" s="1199"/>
      <c r="I687" s="1199"/>
      <c r="J687" s="1204"/>
      <c r="K687" s="1199"/>
      <c r="L687" s="1199"/>
      <c r="M687" s="636" t="s">
        <v>123</v>
      </c>
      <c r="N687" s="549"/>
      <c r="O687" s="544">
        <v>0</v>
      </c>
      <c r="P687" s="544">
        <v>0</v>
      </c>
      <c r="Q687" s="675">
        <v>0</v>
      </c>
    </row>
    <row r="688" spans="2:17" ht="16.5" thickBot="1" x14ac:dyDescent="0.3">
      <c r="B688" s="1204"/>
      <c r="C688" s="1199"/>
      <c r="D688" s="609"/>
      <c r="E688" s="1199"/>
      <c r="F688" s="1201"/>
      <c r="G688" s="1201"/>
      <c r="H688" s="1199"/>
      <c r="I688" s="1199"/>
      <c r="J688" s="1204"/>
      <c r="K688" s="1199"/>
      <c r="L688" s="1199"/>
      <c r="M688" s="672" t="s">
        <v>124</v>
      </c>
      <c r="N688" s="550"/>
      <c r="O688" s="544">
        <v>460</v>
      </c>
      <c r="P688" s="544">
        <v>460</v>
      </c>
      <c r="Q688" s="675">
        <v>460</v>
      </c>
    </row>
    <row r="689" spans="2:17" ht="16.5" thickBot="1" x14ac:dyDescent="0.3">
      <c r="B689" s="1205"/>
      <c r="C689" s="1199"/>
      <c r="D689" s="688"/>
      <c r="E689" s="1199"/>
      <c r="F689" s="1201"/>
      <c r="G689" s="1201"/>
      <c r="H689" s="1199"/>
      <c r="I689" s="1199"/>
      <c r="J689" s="1205"/>
      <c r="K689" s="1199"/>
      <c r="L689" s="1199"/>
      <c r="M689" s="671" t="s">
        <v>745</v>
      </c>
      <c r="N689" s="543"/>
      <c r="O689" s="544">
        <v>0</v>
      </c>
      <c r="P689" s="544">
        <v>0</v>
      </c>
      <c r="Q689" s="675">
        <v>0</v>
      </c>
    </row>
    <row r="690" spans="2:17" ht="16.5" thickBot="1" x14ac:dyDescent="0.3">
      <c r="B690" s="1206" t="s">
        <v>174</v>
      </c>
      <c r="C690" s="1308">
        <v>67731</v>
      </c>
      <c r="D690" s="704" t="s">
        <v>116</v>
      </c>
      <c r="E690" s="1232" t="s">
        <v>116</v>
      </c>
      <c r="F690" s="1200" t="s">
        <v>1059</v>
      </c>
      <c r="G690" s="1207" t="s">
        <v>454</v>
      </c>
      <c r="H690" s="1232" t="s">
        <v>240</v>
      </c>
      <c r="I690" s="1416">
        <f>I694+I698</f>
        <v>24</v>
      </c>
      <c r="J690" s="1206" t="s">
        <v>528</v>
      </c>
      <c r="K690" s="1232">
        <f>K694+K698</f>
        <v>24</v>
      </c>
      <c r="L690" s="1232">
        <f>L694+L698</f>
        <v>24</v>
      </c>
      <c r="M690" s="542" t="s">
        <v>122</v>
      </c>
      <c r="N690" s="549"/>
      <c r="O690" s="797">
        <f>O691+O692+O693</f>
        <v>4800</v>
      </c>
      <c r="P690" s="552">
        <f>P691+P692+P693</f>
        <v>4800</v>
      </c>
      <c r="Q690" s="552">
        <f>Q691+Q692+Q693</f>
        <v>4800</v>
      </c>
    </row>
    <row r="691" spans="2:17" ht="16.5" thickBot="1" x14ac:dyDescent="0.3">
      <c r="B691" s="1204"/>
      <c r="C691" s="1259"/>
      <c r="D691" s="694"/>
      <c r="E691" s="1209"/>
      <c r="F691" s="1201"/>
      <c r="G691" s="1199"/>
      <c r="H691" s="1209"/>
      <c r="I691" s="1418"/>
      <c r="J691" s="1204"/>
      <c r="K691" s="1209"/>
      <c r="L691" s="1209"/>
      <c r="M691" s="636" t="s">
        <v>123</v>
      </c>
      <c r="N691" s="550"/>
      <c r="O691" s="681">
        <v>0</v>
      </c>
      <c r="P691" s="552">
        <v>0</v>
      </c>
      <c r="Q691" s="552">
        <v>0</v>
      </c>
    </row>
    <row r="692" spans="2:17" ht="16.5" thickBot="1" x14ac:dyDescent="0.3">
      <c r="B692" s="1204"/>
      <c r="C692" s="1259"/>
      <c r="D692" s="694"/>
      <c r="E692" s="1209"/>
      <c r="F692" s="1201"/>
      <c r="G692" s="1199"/>
      <c r="H692" s="1209"/>
      <c r="I692" s="1418"/>
      <c r="J692" s="1204"/>
      <c r="K692" s="1209"/>
      <c r="L692" s="1209"/>
      <c r="M692" s="672" t="s">
        <v>124</v>
      </c>
      <c r="N692" s="550"/>
      <c r="O692" s="551">
        <v>4800</v>
      </c>
      <c r="P692" s="551">
        <f>P696+P700</f>
        <v>4800</v>
      </c>
      <c r="Q692" s="552">
        <f>Q696+Q700</f>
        <v>4800</v>
      </c>
    </row>
    <row r="693" spans="2:17" ht="16.5" thickBot="1" x14ac:dyDescent="0.3">
      <c r="B693" s="1205"/>
      <c r="C693" s="1260"/>
      <c r="D693" s="704"/>
      <c r="E693" s="1210"/>
      <c r="F693" s="1202"/>
      <c r="G693" s="1208"/>
      <c r="H693" s="1210"/>
      <c r="I693" s="1419"/>
      <c r="J693" s="1205"/>
      <c r="K693" s="1210"/>
      <c r="L693" s="1210"/>
      <c r="M693" s="547" t="s">
        <v>745</v>
      </c>
      <c r="N693" s="563"/>
      <c r="O693" s="681">
        <v>0</v>
      </c>
      <c r="P693" s="676">
        <v>0</v>
      </c>
      <c r="Q693" s="676">
        <v>0</v>
      </c>
    </row>
    <row r="694" spans="2:17" ht="16.5" thickBot="1" x14ac:dyDescent="0.3">
      <c r="B694" s="1204" t="s">
        <v>174</v>
      </c>
      <c r="C694" s="1199">
        <v>67731</v>
      </c>
      <c r="D694" s="689">
        <v>60301</v>
      </c>
      <c r="E694" s="1199" t="s">
        <v>192</v>
      </c>
      <c r="F694" s="1201" t="s">
        <v>377</v>
      </c>
      <c r="G694" s="1201" t="s">
        <v>453</v>
      </c>
      <c r="H694" s="1199" t="s">
        <v>240</v>
      </c>
      <c r="I694" s="1199" t="s">
        <v>372</v>
      </c>
      <c r="J694" s="1206" t="s">
        <v>528</v>
      </c>
      <c r="K694" s="1199" t="s">
        <v>372</v>
      </c>
      <c r="L694" s="1199" t="s">
        <v>372</v>
      </c>
      <c r="M694" s="672" t="s">
        <v>122</v>
      </c>
      <c r="N694" s="550"/>
      <c r="O694" s="561">
        <f>O695+O696+O697</f>
        <v>1200</v>
      </c>
      <c r="P694" s="561">
        <f>P695+P696+P697</f>
        <v>1200</v>
      </c>
      <c r="Q694" s="562">
        <f>Q695+Q696+Q697</f>
        <v>1200</v>
      </c>
    </row>
    <row r="695" spans="2:17" ht="16.5" thickBot="1" x14ac:dyDescent="0.3">
      <c r="B695" s="1204"/>
      <c r="C695" s="1199"/>
      <c r="D695" s="688"/>
      <c r="E695" s="1199"/>
      <c r="F695" s="1201"/>
      <c r="G695" s="1201"/>
      <c r="H695" s="1199"/>
      <c r="I695" s="1199"/>
      <c r="J695" s="1204"/>
      <c r="K695" s="1199"/>
      <c r="L695" s="1199"/>
      <c r="M695" s="636" t="s">
        <v>123</v>
      </c>
      <c r="N695" s="549"/>
      <c r="O695" s="544">
        <v>0</v>
      </c>
      <c r="P695" s="544">
        <v>0</v>
      </c>
      <c r="Q695" s="675">
        <v>0</v>
      </c>
    </row>
    <row r="696" spans="2:17" ht="16.5" thickBot="1" x14ac:dyDescent="0.3">
      <c r="B696" s="1204"/>
      <c r="C696" s="1199"/>
      <c r="D696" s="688"/>
      <c r="E696" s="1199"/>
      <c r="F696" s="1201"/>
      <c r="G696" s="1201"/>
      <c r="H696" s="1199"/>
      <c r="I696" s="1199"/>
      <c r="J696" s="1204"/>
      <c r="K696" s="1199"/>
      <c r="L696" s="1199"/>
      <c r="M696" s="672" t="s">
        <v>124</v>
      </c>
      <c r="N696" s="550"/>
      <c r="O696" s="544">
        <v>1200</v>
      </c>
      <c r="P696" s="544">
        <v>1200</v>
      </c>
      <c r="Q696" s="675">
        <v>1200</v>
      </c>
    </row>
    <row r="697" spans="2:17" ht="16.5" thickBot="1" x14ac:dyDescent="0.3">
      <c r="B697" s="1204"/>
      <c r="C697" s="1199"/>
      <c r="D697" s="688"/>
      <c r="E697" s="1199"/>
      <c r="F697" s="1201"/>
      <c r="G697" s="1201"/>
      <c r="H697" s="1199"/>
      <c r="I697" s="1199"/>
      <c r="J697" s="1205"/>
      <c r="K697" s="1199"/>
      <c r="L697" s="1199"/>
      <c r="M697" s="671" t="s">
        <v>745</v>
      </c>
      <c r="N697" s="543"/>
      <c r="O697" s="544">
        <v>0</v>
      </c>
      <c r="P697" s="544">
        <v>0</v>
      </c>
      <c r="Q697" s="675">
        <v>0</v>
      </c>
    </row>
    <row r="698" spans="2:17" ht="16.5" thickBot="1" x14ac:dyDescent="0.3">
      <c r="B698" s="1206" t="s">
        <v>174</v>
      </c>
      <c r="C698" s="1207">
        <v>67731</v>
      </c>
      <c r="D698" s="542"/>
      <c r="E698" s="1207" t="s">
        <v>192</v>
      </c>
      <c r="F698" s="1200" t="s">
        <v>378</v>
      </c>
      <c r="G698" s="1200" t="s">
        <v>526</v>
      </c>
      <c r="H698" s="1207" t="s">
        <v>240</v>
      </c>
      <c r="I698" s="1207">
        <v>18</v>
      </c>
      <c r="J698" s="1206" t="s">
        <v>528</v>
      </c>
      <c r="K698" s="1207">
        <v>18</v>
      </c>
      <c r="L698" s="1207">
        <v>18</v>
      </c>
      <c r="M698" s="542" t="s">
        <v>122</v>
      </c>
      <c r="N698" s="543"/>
      <c r="O698" s="544">
        <f>O699+O700+O701</f>
        <v>3600</v>
      </c>
      <c r="P698" s="544">
        <f>P699+P700+P701</f>
        <v>3600</v>
      </c>
      <c r="Q698" s="675">
        <f>Q699+Q700+Q701</f>
        <v>3600</v>
      </c>
    </row>
    <row r="699" spans="2:17" ht="16.5" thickBot="1" x14ac:dyDescent="0.3">
      <c r="B699" s="1204"/>
      <c r="C699" s="1199"/>
      <c r="D699" s="688"/>
      <c r="E699" s="1199"/>
      <c r="F699" s="1201"/>
      <c r="G699" s="1201"/>
      <c r="H699" s="1199"/>
      <c r="I699" s="1199"/>
      <c r="J699" s="1204"/>
      <c r="K699" s="1199"/>
      <c r="L699" s="1199"/>
      <c r="M699" s="636" t="s">
        <v>123</v>
      </c>
      <c r="N699" s="549"/>
      <c r="O699" s="544">
        <v>0</v>
      </c>
      <c r="P699" s="544">
        <v>0</v>
      </c>
      <c r="Q699" s="675">
        <v>0</v>
      </c>
    </row>
    <row r="700" spans="2:17" ht="16.5" thickBot="1" x14ac:dyDescent="0.3">
      <c r="B700" s="1204"/>
      <c r="C700" s="1199"/>
      <c r="D700" s="688"/>
      <c r="E700" s="1199"/>
      <c r="F700" s="1201"/>
      <c r="G700" s="1201"/>
      <c r="H700" s="1199"/>
      <c r="I700" s="1199"/>
      <c r="J700" s="1204"/>
      <c r="K700" s="1199"/>
      <c r="L700" s="1199"/>
      <c r="M700" s="672" t="s">
        <v>124</v>
      </c>
      <c r="N700" s="550"/>
      <c r="O700" s="544">
        <v>3600</v>
      </c>
      <c r="P700" s="544">
        <v>3600</v>
      </c>
      <c r="Q700" s="675">
        <v>3600</v>
      </c>
    </row>
    <row r="701" spans="2:17" ht="16.5" thickBot="1" x14ac:dyDescent="0.3">
      <c r="B701" s="1205"/>
      <c r="C701" s="1208"/>
      <c r="D701" s="628">
        <v>60301</v>
      </c>
      <c r="E701" s="1208"/>
      <c r="F701" s="1202"/>
      <c r="G701" s="1202"/>
      <c r="H701" s="1208"/>
      <c r="I701" s="1208"/>
      <c r="J701" s="1205"/>
      <c r="K701" s="1208"/>
      <c r="L701" s="1208"/>
      <c r="M701" s="547" t="s">
        <v>745</v>
      </c>
      <c r="N701" s="549"/>
      <c r="O701" s="551">
        <v>0</v>
      </c>
      <c r="P701" s="551">
        <v>0</v>
      </c>
      <c r="Q701" s="552">
        <v>0</v>
      </c>
    </row>
    <row r="702" spans="2:17" x14ac:dyDescent="0.25">
      <c r="C702" s="1413" t="s">
        <v>1060</v>
      </c>
      <c r="D702" s="1413"/>
      <c r="E702" s="1413"/>
      <c r="F702" s="1413"/>
      <c r="G702" s="1413"/>
      <c r="H702" s="1413"/>
      <c r="I702" s="1413"/>
      <c r="J702" s="1413"/>
      <c r="K702" s="1413"/>
      <c r="L702" s="1413"/>
      <c r="M702" s="1413"/>
      <c r="N702" s="1413"/>
      <c r="O702" s="1413"/>
      <c r="P702" s="1413"/>
      <c r="Q702" s="1413"/>
    </row>
    <row r="703" spans="2:17" x14ac:dyDescent="0.25">
      <c r="C703" s="1414"/>
      <c r="D703" s="1414"/>
      <c r="E703" s="1414"/>
      <c r="F703" s="1414"/>
      <c r="G703" s="1414"/>
      <c r="H703" s="1414"/>
      <c r="I703" s="1414"/>
      <c r="J703" s="1414"/>
      <c r="K703" s="1414"/>
      <c r="L703" s="1414"/>
      <c r="M703" s="1414"/>
      <c r="N703" s="1414"/>
      <c r="O703" s="1414"/>
      <c r="P703" s="1414"/>
      <c r="Q703" s="1414"/>
    </row>
    <row r="704" spans="2:17" x14ac:dyDescent="0.25">
      <c r="F704" s="49"/>
    </row>
  </sheetData>
  <autoFilter ref="B14:Q701" xr:uid="{00000000-0009-0000-0000-000014000000}"/>
  <mergeCells count="1809">
    <mergeCell ref="J455:J458"/>
    <mergeCell ref="L451:L454"/>
    <mergeCell ref="K463:K466"/>
    <mergeCell ref="K571:K574"/>
    <mergeCell ref="L571:L574"/>
    <mergeCell ref="J551:J554"/>
    <mergeCell ref="L559:L562"/>
    <mergeCell ref="G459:G462"/>
    <mergeCell ref="H632:H635"/>
    <mergeCell ref="H656:H659"/>
    <mergeCell ref="O586:O587"/>
    <mergeCell ref="L575:L578"/>
    <mergeCell ref="J620:J623"/>
    <mergeCell ref="G620:G623"/>
    <mergeCell ref="H567:H570"/>
    <mergeCell ref="H559:H562"/>
    <mergeCell ref="H563:H566"/>
    <mergeCell ref="H571:H574"/>
    <mergeCell ref="L567:L570"/>
    <mergeCell ref="J567:J570"/>
    <mergeCell ref="K567:K570"/>
    <mergeCell ref="I559:I562"/>
    <mergeCell ref="I459:I462"/>
    <mergeCell ref="L652:L655"/>
    <mergeCell ref="J648:J651"/>
    <mergeCell ref="K652:K655"/>
    <mergeCell ref="J451:J454"/>
    <mergeCell ref="I455:I458"/>
    <mergeCell ref="I499:I502"/>
    <mergeCell ref="J499:J502"/>
    <mergeCell ref="K499:K502"/>
    <mergeCell ref="J575:J578"/>
    <mergeCell ref="I644:I647"/>
    <mergeCell ref="K656:K659"/>
    <mergeCell ref="K575:K578"/>
    <mergeCell ref="K648:K651"/>
    <mergeCell ref="J644:J647"/>
    <mergeCell ref="K588:K591"/>
    <mergeCell ref="J612:J615"/>
    <mergeCell ref="H628:H631"/>
    <mergeCell ref="L628:L631"/>
    <mergeCell ref="L640:L643"/>
    <mergeCell ref="L616:L619"/>
    <mergeCell ref="L612:L615"/>
    <mergeCell ref="I616:I619"/>
    <mergeCell ref="J616:J619"/>
    <mergeCell ref="K616:K619"/>
    <mergeCell ref="L608:L611"/>
    <mergeCell ref="I612:I615"/>
    <mergeCell ref="H640:H643"/>
    <mergeCell ref="L620:L623"/>
    <mergeCell ref="K620:K623"/>
    <mergeCell ref="H620:H623"/>
    <mergeCell ref="I620:I623"/>
    <mergeCell ref="I652:I655"/>
    <mergeCell ref="J652:J655"/>
    <mergeCell ref="I648:I651"/>
    <mergeCell ref="L648:L651"/>
    <mergeCell ref="K579:K582"/>
    <mergeCell ref="L579:L582"/>
    <mergeCell ref="B463:B466"/>
    <mergeCell ref="K403:K406"/>
    <mergeCell ref="I399:I402"/>
    <mergeCell ref="B455:B458"/>
    <mergeCell ref="P586:P587"/>
    <mergeCell ref="C463:C466"/>
    <mergeCell ref="E463:E466"/>
    <mergeCell ref="F463:F466"/>
    <mergeCell ref="G463:G466"/>
    <mergeCell ref="I575:I578"/>
    <mergeCell ref="B459:B462"/>
    <mergeCell ref="C459:C462"/>
    <mergeCell ref="N583:N587"/>
    <mergeCell ref="M586:M587"/>
    <mergeCell ref="J579:J582"/>
    <mergeCell ref="J583:J587"/>
    <mergeCell ref="I579:I582"/>
    <mergeCell ref="E459:E462"/>
    <mergeCell ref="L552:L554"/>
    <mergeCell ref="F459:F462"/>
    <mergeCell ref="I535:I538"/>
    <mergeCell ref="I527:I530"/>
    <mergeCell ref="H463:H466"/>
    <mergeCell ref="I463:I466"/>
    <mergeCell ref="G555:G558"/>
    <mergeCell ref="G575:G578"/>
    <mergeCell ref="H575:H578"/>
    <mergeCell ref="B567:B570"/>
    <mergeCell ref="C567:C570"/>
    <mergeCell ref="E567:E570"/>
    <mergeCell ref="F567:F570"/>
    <mergeCell ref="G567:G570"/>
    <mergeCell ref="J87:J90"/>
    <mergeCell ref="L107:L110"/>
    <mergeCell ref="K87:K90"/>
    <mergeCell ref="L364:L366"/>
    <mergeCell ref="L87:L90"/>
    <mergeCell ref="H87:H90"/>
    <mergeCell ref="J23:J26"/>
    <mergeCell ref="K23:K26"/>
    <mergeCell ref="K119:K122"/>
    <mergeCell ref="H451:H454"/>
    <mergeCell ref="K423:K426"/>
    <mergeCell ref="J419:J422"/>
    <mergeCell ref="J443:J446"/>
    <mergeCell ref="K451:K454"/>
    <mergeCell ref="Q586:Q587"/>
    <mergeCell ref="K459:K462"/>
    <mergeCell ref="L459:L462"/>
    <mergeCell ref="L555:L558"/>
    <mergeCell ref="K531:K534"/>
    <mergeCell ref="L531:L534"/>
    <mergeCell ref="K539:K542"/>
    <mergeCell ref="L539:L542"/>
    <mergeCell ref="K559:K562"/>
    <mergeCell ref="L479:L482"/>
    <mergeCell ref="H187:H190"/>
    <mergeCell ref="I187:I190"/>
    <mergeCell ref="J187:J190"/>
    <mergeCell ref="I115:I118"/>
    <mergeCell ref="H459:H462"/>
    <mergeCell ref="I543:I546"/>
    <mergeCell ref="I539:I542"/>
    <mergeCell ref="H552:H554"/>
    <mergeCell ref="U555:W558"/>
    <mergeCell ref="I636:I639"/>
    <mergeCell ref="J640:J643"/>
    <mergeCell ref="K640:K643"/>
    <mergeCell ref="J628:J631"/>
    <mergeCell ref="J632:J635"/>
    <mergeCell ref="K632:K635"/>
    <mergeCell ref="L632:L635"/>
    <mergeCell ref="L636:L639"/>
    <mergeCell ref="B644:B647"/>
    <mergeCell ref="C644:C647"/>
    <mergeCell ref="E644:E647"/>
    <mergeCell ref="F644:F647"/>
    <mergeCell ref="G644:G647"/>
    <mergeCell ref="H644:H647"/>
    <mergeCell ref="B636:B639"/>
    <mergeCell ref="G636:G639"/>
    <mergeCell ref="H636:H639"/>
    <mergeCell ref="K644:K647"/>
    <mergeCell ref="L644:L647"/>
    <mergeCell ref="C636:C639"/>
    <mergeCell ref="E636:E639"/>
    <mergeCell ref="F636:F639"/>
    <mergeCell ref="C640:C643"/>
    <mergeCell ref="E640:E643"/>
    <mergeCell ref="F640:F643"/>
    <mergeCell ref="K612:K615"/>
    <mergeCell ref="I640:I643"/>
    <mergeCell ref="J636:J639"/>
    <mergeCell ref="K636:K639"/>
    <mergeCell ref="I628:I631"/>
    <mergeCell ref="I632:I635"/>
    <mergeCell ref="L698:L701"/>
    <mergeCell ref="B87:B90"/>
    <mergeCell ref="C87:C90"/>
    <mergeCell ref="E87:E90"/>
    <mergeCell ref="F87:F90"/>
    <mergeCell ref="G87:G90"/>
    <mergeCell ref="L463:L466"/>
    <mergeCell ref="H682:H685"/>
    <mergeCell ref="H678:H681"/>
    <mergeCell ref="H694:H697"/>
    <mergeCell ref="J91:J94"/>
    <mergeCell ref="H119:H122"/>
    <mergeCell ref="I119:I122"/>
    <mergeCell ref="J119:J122"/>
    <mergeCell ref="L111:L114"/>
    <mergeCell ref="K107:K110"/>
    <mergeCell ref="H115:H118"/>
    <mergeCell ref="K111:K114"/>
    <mergeCell ref="I107:I110"/>
    <mergeCell ref="I91:I94"/>
    <mergeCell ref="L119:L122"/>
    <mergeCell ref="I571:I574"/>
    <mergeCell ref="J559:J562"/>
    <mergeCell ref="K547:K550"/>
    <mergeCell ref="L547:L550"/>
    <mergeCell ref="I563:I566"/>
    <mergeCell ref="K563:K566"/>
    <mergeCell ref="J563:J566"/>
    <mergeCell ref="L563:L566"/>
    <mergeCell ref="I567:I570"/>
    <mergeCell ref="F555:F558"/>
    <mergeCell ref="I87:I90"/>
    <mergeCell ref="H698:H701"/>
    <mergeCell ref="I686:I689"/>
    <mergeCell ref="H686:H689"/>
    <mergeCell ref="C694:C697"/>
    <mergeCell ref="E694:E697"/>
    <mergeCell ref="F694:F697"/>
    <mergeCell ref="J698:J701"/>
    <mergeCell ref="K698:K701"/>
    <mergeCell ref="J463:J466"/>
    <mergeCell ref="I698:I701"/>
    <mergeCell ref="I694:I697"/>
    <mergeCell ref="J694:J697"/>
    <mergeCell ref="K694:K697"/>
    <mergeCell ref="J690:J693"/>
    <mergeCell ref="J682:J685"/>
    <mergeCell ref="K628:K631"/>
    <mergeCell ref="B698:B701"/>
    <mergeCell ref="C698:C701"/>
    <mergeCell ref="E698:E701"/>
    <mergeCell ref="F698:F701"/>
    <mergeCell ref="G698:G701"/>
    <mergeCell ref="B694:B697"/>
    <mergeCell ref="G694:G697"/>
    <mergeCell ref="H555:H558"/>
    <mergeCell ref="H499:H502"/>
    <mergeCell ref="I588:I591"/>
    <mergeCell ref="J588:J591"/>
    <mergeCell ref="J571:J574"/>
    <mergeCell ref="I547:I550"/>
    <mergeCell ref="I555:I558"/>
    <mergeCell ref="H579:H582"/>
    <mergeCell ref="G640:G643"/>
    <mergeCell ref="B690:B693"/>
    <mergeCell ref="C690:C693"/>
    <mergeCell ref="E690:E693"/>
    <mergeCell ref="F690:F693"/>
    <mergeCell ref="G690:G693"/>
    <mergeCell ref="I690:I693"/>
    <mergeCell ref="H690:H693"/>
    <mergeCell ref="L694:L697"/>
    <mergeCell ref="B666:B669"/>
    <mergeCell ref="C666:C669"/>
    <mergeCell ref="E666:E669"/>
    <mergeCell ref="F666:F669"/>
    <mergeCell ref="B686:B689"/>
    <mergeCell ref="H666:H669"/>
    <mergeCell ref="G666:G669"/>
    <mergeCell ref="K690:K693"/>
    <mergeCell ref="L690:L693"/>
    <mergeCell ref="C686:C689"/>
    <mergeCell ref="E686:E689"/>
    <mergeCell ref="F686:F689"/>
    <mergeCell ref="G686:G689"/>
    <mergeCell ref="I682:I685"/>
    <mergeCell ref="L674:L677"/>
    <mergeCell ref="B678:B681"/>
    <mergeCell ref="C678:C681"/>
    <mergeCell ref="E678:E681"/>
    <mergeCell ref="F678:F681"/>
    <mergeCell ref="G678:G681"/>
    <mergeCell ref="I678:I681"/>
    <mergeCell ref="J678:J681"/>
    <mergeCell ref="K678:K681"/>
    <mergeCell ref="K682:K685"/>
    <mergeCell ref="L682:L685"/>
    <mergeCell ref="J686:J689"/>
    <mergeCell ref="K686:K689"/>
    <mergeCell ref="L686:L689"/>
    <mergeCell ref="B682:B685"/>
    <mergeCell ref="C682:C685"/>
    <mergeCell ref="E682:E685"/>
    <mergeCell ref="F682:F685"/>
    <mergeCell ref="G682:G685"/>
    <mergeCell ref="L678:L681"/>
    <mergeCell ref="O664:O665"/>
    <mergeCell ref="P664:P665"/>
    <mergeCell ref="Q664:Q665"/>
    <mergeCell ref="J674:J677"/>
    <mergeCell ref="H674:H677"/>
    <mergeCell ref="J670:J673"/>
    <mergeCell ref="K670:K673"/>
    <mergeCell ref="L670:L673"/>
    <mergeCell ref="I666:I669"/>
    <mergeCell ref="B674:B677"/>
    <mergeCell ref="C674:C677"/>
    <mergeCell ref="E674:E677"/>
    <mergeCell ref="F674:F677"/>
    <mergeCell ref="G674:G677"/>
    <mergeCell ref="I670:I673"/>
    <mergeCell ref="H670:H673"/>
    <mergeCell ref="B670:B673"/>
    <mergeCell ref="C670:C673"/>
    <mergeCell ref="E670:E673"/>
    <mergeCell ref="L664:L665"/>
    <mergeCell ref="H664:H665"/>
    <mergeCell ref="I664:I665"/>
    <mergeCell ref="F670:F673"/>
    <mergeCell ref="G670:G673"/>
    <mergeCell ref="B660:B665"/>
    <mergeCell ref="C660:C665"/>
    <mergeCell ref="D660:D665"/>
    <mergeCell ref="E660:E665"/>
    <mergeCell ref="F660:F665"/>
    <mergeCell ref="G664:G665"/>
    <mergeCell ref="J666:J669"/>
    <mergeCell ref="K666:K669"/>
    <mergeCell ref="L666:L669"/>
    <mergeCell ref="I674:I677"/>
    <mergeCell ref="N660:N665"/>
    <mergeCell ref="M664:M665"/>
    <mergeCell ref="J660:J665"/>
    <mergeCell ref="K674:K677"/>
    <mergeCell ref="I660:I661"/>
    <mergeCell ref="K664:K665"/>
    <mergeCell ref="L660:L661"/>
    <mergeCell ref="G660:G661"/>
    <mergeCell ref="B640:B643"/>
    <mergeCell ref="H624:H627"/>
    <mergeCell ref="I624:I627"/>
    <mergeCell ref="J624:J627"/>
    <mergeCell ref="K624:K627"/>
    <mergeCell ref="B656:B659"/>
    <mergeCell ref="C656:C659"/>
    <mergeCell ref="E656:E659"/>
    <mergeCell ref="F656:F659"/>
    <mergeCell ref="G656:G659"/>
    <mergeCell ref="L656:L659"/>
    <mergeCell ref="I656:I659"/>
    <mergeCell ref="J656:J659"/>
    <mergeCell ref="G662:G663"/>
    <mergeCell ref="H662:H663"/>
    <mergeCell ref="K662:K663"/>
    <mergeCell ref="L662:L663"/>
    <mergeCell ref="K660:K661"/>
    <mergeCell ref="I662:I663"/>
    <mergeCell ref="H660:H661"/>
    <mergeCell ref="G652:G655"/>
    <mergeCell ref="H652:H655"/>
    <mergeCell ref="B648:B651"/>
    <mergeCell ref="C648:C651"/>
    <mergeCell ref="E648:E651"/>
    <mergeCell ref="F648:F651"/>
    <mergeCell ref="G648:G651"/>
    <mergeCell ref="H648:H651"/>
    <mergeCell ref="B652:B655"/>
    <mergeCell ref="C652:C655"/>
    <mergeCell ref="E652:E655"/>
    <mergeCell ref="F652:F655"/>
    <mergeCell ref="B624:B627"/>
    <mergeCell ref="C624:C627"/>
    <mergeCell ref="E624:E627"/>
    <mergeCell ref="F624:F627"/>
    <mergeCell ref="G624:G627"/>
    <mergeCell ref="L624:L627"/>
    <mergeCell ref="B628:B631"/>
    <mergeCell ref="C628:C631"/>
    <mergeCell ref="E628:E631"/>
    <mergeCell ref="F628:F631"/>
    <mergeCell ref="G628:G631"/>
    <mergeCell ref="B632:B635"/>
    <mergeCell ref="C632:C635"/>
    <mergeCell ref="E632:E635"/>
    <mergeCell ref="F632:F635"/>
    <mergeCell ref="G632:G635"/>
    <mergeCell ref="B612:B615"/>
    <mergeCell ref="C612:C615"/>
    <mergeCell ref="E612:E615"/>
    <mergeCell ref="F612:F615"/>
    <mergeCell ref="G612:G615"/>
    <mergeCell ref="H612:H615"/>
    <mergeCell ref="B616:B619"/>
    <mergeCell ref="C616:C619"/>
    <mergeCell ref="E616:E619"/>
    <mergeCell ref="F616:F619"/>
    <mergeCell ref="G616:G619"/>
    <mergeCell ref="H616:H619"/>
    <mergeCell ref="B620:B623"/>
    <mergeCell ref="C620:C623"/>
    <mergeCell ref="E620:E623"/>
    <mergeCell ref="F620:F623"/>
    <mergeCell ref="B604:B607"/>
    <mergeCell ref="C604:C607"/>
    <mergeCell ref="E604:E607"/>
    <mergeCell ref="F604:F607"/>
    <mergeCell ref="G604:G607"/>
    <mergeCell ref="H604:H607"/>
    <mergeCell ref="I604:I607"/>
    <mergeCell ref="J604:J607"/>
    <mergeCell ref="K604:K607"/>
    <mergeCell ref="L604:L607"/>
    <mergeCell ref="B608:B611"/>
    <mergeCell ref="C608:C611"/>
    <mergeCell ref="E608:E611"/>
    <mergeCell ref="F608:F611"/>
    <mergeCell ref="G608:G611"/>
    <mergeCell ref="H608:H611"/>
    <mergeCell ref="I608:I611"/>
    <mergeCell ref="J608:J611"/>
    <mergeCell ref="K608:K611"/>
    <mergeCell ref="B596:B599"/>
    <mergeCell ref="C596:C599"/>
    <mergeCell ref="E596:E599"/>
    <mergeCell ref="F596:F599"/>
    <mergeCell ref="G596:G599"/>
    <mergeCell ref="H596:H599"/>
    <mergeCell ref="I596:I599"/>
    <mergeCell ref="J596:J599"/>
    <mergeCell ref="K596:K599"/>
    <mergeCell ref="L596:L599"/>
    <mergeCell ref="B600:B603"/>
    <mergeCell ref="C600:C603"/>
    <mergeCell ref="E600:E603"/>
    <mergeCell ref="F600:F603"/>
    <mergeCell ref="G600:G603"/>
    <mergeCell ref="H600:H603"/>
    <mergeCell ref="I600:I603"/>
    <mergeCell ref="J600:J603"/>
    <mergeCell ref="K600:K603"/>
    <mergeCell ref="L600:L603"/>
    <mergeCell ref="B588:B591"/>
    <mergeCell ref="C588:C591"/>
    <mergeCell ref="E588:E591"/>
    <mergeCell ref="F588:F591"/>
    <mergeCell ref="G588:G591"/>
    <mergeCell ref="H588:H591"/>
    <mergeCell ref="L588:L591"/>
    <mergeCell ref="B592:B595"/>
    <mergeCell ref="C592:C595"/>
    <mergeCell ref="E592:E595"/>
    <mergeCell ref="F592:F595"/>
    <mergeCell ref="G592:G595"/>
    <mergeCell ref="H592:H595"/>
    <mergeCell ref="I592:I595"/>
    <mergeCell ref="J592:J595"/>
    <mergeCell ref="K592:K595"/>
    <mergeCell ref="L592:L595"/>
    <mergeCell ref="C571:C574"/>
    <mergeCell ref="E571:E574"/>
    <mergeCell ref="B571:B574"/>
    <mergeCell ref="B579:B582"/>
    <mergeCell ref="C579:C582"/>
    <mergeCell ref="E579:E582"/>
    <mergeCell ref="F579:F582"/>
    <mergeCell ref="G579:G582"/>
    <mergeCell ref="B575:B578"/>
    <mergeCell ref="C575:C578"/>
    <mergeCell ref="E575:E578"/>
    <mergeCell ref="F575:F578"/>
    <mergeCell ref="B559:B562"/>
    <mergeCell ref="C559:C562"/>
    <mergeCell ref="E559:E562"/>
    <mergeCell ref="F559:F562"/>
    <mergeCell ref="G559:G562"/>
    <mergeCell ref="B563:B566"/>
    <mergeCell ref="C563:C566"/>
    <mergeCell ref="E563:E566"/>
    <mergeCell ref="F563:F566"/>
    <mergeCell ref="G563:G566"/>
    <mergeCell ref="F571:F574"/>
    <mergeCell ref="G571:G574"/>
    <mergeCell ref="B543:B546"/>
    <mergeCell ref="C543:C546"/>
    <mergeCell ref="E543:E546"/>
    <mergeCell ref="F543:F546"/>
    <mergeCell ref="G543:G546"/>
    <mergeCell ref="H543:H546"/>
    <mergeCell ref="F551:F554"/>
    <mergeCell ref="E555:E558"/>
    <mergeCell ref="L543:L546"/>
    <mergeCell ref="B547:B550"/>
    <mergeCell ref="C547:C550"/>
    <mergeCell ref="E547:E550"/>
    <mergeCell ref="F547:F550"/>
    <mergeCell ref="G547:G550"/>
    <mergeCell ref="H547:H550"/>
    <mergeCell ref="J547:J550"/>
    <mergeCell ref="B555:B558"/>
    <mergeCell ref="C555:C558"/>
    <mergeCell ref="B551:B554"/>
    <mergeCell ref="C551:C554"/>
    <mergeCell ref="D551:D554"/>
    <mergeCell ref="E551:E554"/>
    <mergeCell ref="J543:J546"/>
    <mergeCell ref="K543:K546"/>
    <mergeCell ref="J555:J558"/>
    <mergeCell ref="K555:K558"/>
    <mergeCell ref="G552:G554"/>
    <mergeCell ref="I552:I554"/>
    <mergeCell ref="K552:K554"/>
    <mergeCell ref="B531:B534"/>
    <mergeCell ref="I523:I526"/>
    <mergeCell ref="J523:J526"/>
    <mergeCell ref="K523:K526"/>
    <mergeCell ref="L523:L526"/>
    <mergeCell ref="B527:B530"/>
    <mergeCell ref="C527:C530"/>
    <mergeCell ref="E527:E530"/>
    <mergeCell ref="F527:F530"/>
    <mergeCell ref="H539:H542"/>
    <mergeCell ref="J539:J542"/>
    <mergeCell ref="J527:J530"/>
    <mergeCell ref="K527:K530"/>
    <mergeCell ref="L527:L530"/>
    <mergeCell ref="B535:B538"/>
    <mergeCell ref="C535:C538"/>
    <mergeCell ref="E535:E538"/>
    <mergeCell ref="F535:F538"/>
    <mergeCell ref="G535:G538"/>
    <mergeCell ref="J535:J538"/>
    <mergeCell ref="K535:K538"/>
    <mergeCell ref="L535:L538"/>
    <mergeCell ref="B539:B542"/>
    <mergeCell ref="C539:C542"/>
    <mergeCell ref="E539:E542"/>
    <mergeCell ref="F539:F542"/>
    <mergeCell ref="G539:G542"/>
    <mergeCell ref="H535:H538"/>
    <mergeCell ref="J531:J534"/>
    <mergeCell ref="B519:B522"/>
    <mergeCell ref="C519:C522"/>
    <mergeCell ref="E519:E522"/>
    <mergeCell ref="F519:F522"/>
    <mergeCell ref="G519:G522"/>
    <mergeCell ref="H519:H522"/>
    <mergeCell ref="B523:B526"/>
    <mergeCell ref="C523:C526"/>
    <mergeCell ref="E523:E526"/>
    <mergeCell ref="F523:F526"/>
    <mergeCell ref="G523:G526"/>
    <mergeCell ref="H523:H526"/>
    <mergeCell ref="G527:G530"/>
    <mergeCell ref="H527:H530"/>
    <mergeCell ref="I519:I522"/>
    <mergeCell ref="J519:J522"/>
    <mergeCell ref="K519:K522"/>
    <mergeCell ref="B511:B514"/>
    <mergeCell ref="C511:C514"/>
    <mergeCell ref="E511:E514"/>
    <mergeCell ref="F511:F514"/>
    <mergeCell ref="G511:G514"/>
    <mergeCell ref="H511:H514"/>
    <mergeCell ref="I511:I514"/>
    <mergeCell ref="J511:J514"/>
    <mergeCell ref="K511:K514"/>
    <mergeCell ref="L511:L514"/>
    <mergeCell ref="B515:B518"/>
    <mergeCell ref="C515:C518"/>
    <mergeCell ref="E515:E518"/>
    <mergeCell ref="F515:F518"/>
    <mergeCell ref="G515:G518"/>
    <mergeCell ref="H515:H518"/>
    <mergeCell ref="I515:I518"/>
    <mergeCell ref="J515:J518"/>
    <mergeCell ref="K515:K518"/>
    <mergeCell ref="L515:L518"/>
    <mergeCell ref="B503:B506"/>
    <mergeCell ref="C503:C506"/>
    <mergeCell ref="E503:E506"/>
    <mergeCell ref="F503:F506"/>
    <mergeCell ref="G503:G506"/>
    <mergeCell ref="H503:H506"/>
    <mergeCell ref="I503:I506"/>
    <mergeCell ref="J503:J506"/>
    <mergeCell ref="K503:K506"/>
    <mergeCell ref="L503:L506"/>
    <mergeCell ref="B507:B510"/>
    <mergeCell ref="C507:C510"/>
    <mergeCell ref="E507:E510"/>
    <mergeCell ref="F507:F510"/>
    <mergeCell ref="G507:G510"/>
    <mergeCell ref="H507:H510"/>
    <mergeCell ref="I507:I510"/>
    <mergeCell ref="J507:J510"/>
    <mergeCell ref="K507:K510"/>
    <mergeCell ref="L507:L510"/>
    <mergeCell ref="B487:B490"/>
    <mergeCell ref="C487:C490"/>
    <mergeCell ref="E487:E490"/>
    <mergeCell ref="F487:F490"/>
    <mergeCell ref="G487:G490"/>
    <mergeCell ref="H487:H490"/>
    <mergeCell ref="I487:I490"/>
    <mergeCell ref="J487:J490"/>
    <mergeCell ref="K487:K490"/>
    <mergeCell ref="L487:L490"/>
    <mergeCell ref="B491:B494"/>
    <mergeCell ref="C491:C494"/>
    <mergeCell ref="E491:E494"/>
    <mergeCell ref="F491:F494"/>
    <mergeCell ref="G491:G494"/>
    <mergeCell ref="H491:H494"/>
    <mergeCell ref="B495:B498"/>
    <mergeCell ref="C495:C498"/>
    <mergeCell ref="E495:E498"/>
    <mergeCell ref="F495:F498"/>
    <mergeCell ref="G495:G498"/>
    <mergeCell ref="H495:H498"/>
    <mergeCell ref="I495:I498"/>
    <mergeCell ref="J495:J498"/>
    <mergeCell ref="K495:K498"/>
    <mergeCell ref="L495:L498"/>
    <mergeCell ref="I491:I494"/>
    <mergeCell ref="J491:J494"/>
    <mergeCell ref="K491:K494"/>
    <mergeCell ref="L491:L494"/>
    <mergeCell ref="B479:B482"/>
    <mergeCell ref="C479:C482"/>
    <mergeCell ref="E479:E482"/>
    <mergeCell ref="F479:F482"/>
    <mergeCell ref="G479:G482"/>
    <mergeCell ref="H479:H482"/>
    <mergeCell ref="I479:I482"/>
    <mergeCell ref="B483:B486"/>
    <mergeCell ref="C483:C486"/>
    <mergeCell ref="E483:E486"/>
    <mergeCell ref="F483:F486"/>
    <mergeCell ref="G483:G486"/>
    <mergeCell ref="H483:H486"/>
    <mergeCell ref="I483:I486"/>
    <mergeCell ref="J483:J486"/>
    <mergeCell ref="K483:K486"/>
    <mergeCell ref="L483:L486"/>
    <mergeCell ref="J479:J482"/>
    <mergeCell ref="B467:B470"/>
    <mergeCell ref="C467:C470"/>
    <mergeCell ref="E467:E470"/>
    <mergeCell ref="F467:F470"/>
    <mergeCell ref="G467:G470"/>
    <mergeCell ref="H467:H470"/>
    <mergeCell ref="J467:J470"/>
    <mergeCell ref="K467:K470"/>
    <mergeCell ref="L467:L470"/>
    <mergeCell ref="B471:B474"/>
    <mergeCell ref="C471:C474"/>
    <mergeCell ref="E471:E474"/>
    <mergeCell ref="F471:F474"/>
    <mergeCell ref="G471:G474"/>
    <mergeCell ref="H471:H474"/>
    <mergeCell ref="I471:I474"/>
    <mergeCell ref="J471:J474"/>
    <mergeCell ref="K471:K474"/>
    <mergeCell ref="L471:L474"/>
    <mergeCell ref="I467:I470"/>
    <mergeCell ref="C455:C458"/>
    <mergeCell ref="E455:E458"/>
    <mergeCell ref="F455:F458"/>
    <mergeCell ref="G455:G458"/>
    <mergeCell ref="L415:L418"/>
    <mergeCell ref="H423:H426"/>
    <mergeCell ref="L419:L422"/>
    <mergeCell ref="H443:H446"/>
    <mergeCell ref="H427:H430"/>
    <mergeCell ref="H435:H438"/>
    <mergeCell ref="C451:C454"/>
    <mergeCell ref="E451:E454"/>
    <mergeCell ref="F451:F454"/>
    <mergeCell ref="G451:G454"/>
    <mergeCell ref="B423:B426"/>
    <mergeCell ref="C423:C426"/>
    <mergeCell ref="E423:E426"/>
    <mergeCell ref="F423:F426"/>
    <mergeCell ref="G423:G426"/>
    <mergeCell ref="B443:B446"/>
    <mergeCell ref="L447:L450"/>
    <mergeCell ref="B447:B450"/>
    <mergeCell ref="E447:E450"/>
    <mergeCell ref="F447:F450"/>
    <mergeCell ref="G447:G450"/>
    <mergeCell ref="K455:K458"/>
    <mergeCell ref="L455:L458"/>
    <mergeCell ref="H455:H458"/>
    <mergeCell ref="C447:C450"/>
    <mergeCell ref="B451:B454"/>
    <mergeCell ref="C443:C446"/>
    <mergeCell ref="E443:E446"/>
    <mergeCell ref="B399:B402"/>
    <mergeCell ref="B407:B410"/>
    <mergeCell ref="C407:C410"/>
    <mergeCell ref="D407:D409"/>
    <mergeCell ref="E407:E410"/>
    <mergeCell ref="B403:B406"/>
    <mergeCell ref="C403:C406"/>
    <mergeCell ref="E403:E406"/>
    <mergeCell ref="F403:F406"/>
    <mergeCell ref="I411:I414"/>
    <mergeCell ref="I415:I418"/>
    <mergeCell ref="B419:B422"/>
    <mergeCell ref="C419:C422"/>
    <mergeCell ref="E419:E422"/>
    <mergeCell ref="F419:F422"/>
    <mergeCell ref="G419:G422"/>
    <mergeCell ref="F415:F418"/>
    <mergeCell ref="G415:G418"/>
    <mergeCell ref="H415:H418"/>
    <mergeCell ref="L395:L398"/>
    <mergeCell ref="B383:B386"/>
    <mergeCell ref="C383:C386"/>
    <mergeCell ref="D383:D385"/>
    <mergeCell ref="E383:E386"/>
    <mergeCell ref="J383:J386"/>
    <mergeCell ref="L383:L386"/>
    <mergeCell ref="K383:K386"/>
    <mergeCell ref="L387:L390"/>
    <mergeCell ref="H395:H398"/>
    <mergeCell ref="C391:C394"/>
    <mergeCell ref="E391:E394"/>
    <mergeCell ref="F391:F394"/>
    <mergeCell ref="G391:G394"/>
    <mergeCell ref="H391:H394"/>
    <mergeCell ref="K391:K394"/>
    <mergeCell ref="L391:L394"/>
    <mergeCell ref="I395:I398"/>
    <mergeCell ref="B395:B398"/>
    <mergeCell ref="C395:C398"/>
    <mergeCell ref="E395:E398"/>
    <mergeCell ref="F395:F398"/>
    <mergeCell ref="G395:G398"/>
    <mergeCell ref="F387:F390"/>
    <mergeCell ref="G387:G390"/>
    <mergeCell ref="G383:G386"/>
    <mergeCell ref="K387:K390"/>
    <mergeCell ref="B375:B378"/>
    <mergeCell ref="C375:C378"/>
    <mergeCell ref="E375:E378"/>
    <mergeCell ref="F375:F378"/>
    <mergeCell ref="G375:G378"/>
    <mergeCell ref="H375:H378"/>
    <mergeCell ref="L375:L378"/>
    <mergeCell ref="B379:B382"/>
    <mergeCell ref="C379:C382"/>
    <mergeCell ref="E379:E382"/>
    <mergeCell ref="F379:F382"/>
    <mergeCell ref="G379:G382"/>
    <mergeCell ref="H379:H382"/>
    <mergeCell ref="I379:I382"/>
    <mergeCell ref="J379:J382"/>
    <mergeCell ref="K379:K382"/>
    <mergeCell ref="L379:L382"/>
    <mergeCell ref="C367:C370"/>
    <mergeCell ref="E367:E370"/>
    <mergeCell ref="F367:F370"/>
    <mergeCell ref="G367:G370"/>
    <mergeCell ref="H367:H370"/>
    <mergeCell ref="B363:B366"/>
    <mergeCell ref="C363:C366"/>
    <mergeCell ref="D363:D366"/>
    <mergeCell ref="E363:E366"/>
    <mergeCell ref="F363:F366"/>
    <mergeCell ref="I367:I370"/>
    <mergeCell ref="I364:I366"/>
    <mergeCell ref="J367:J370"/>
    <mergeCell ref="K367:K370"/>
    <mergeCell ref="L367:L370"/>
    <mergeCell ref="B371:B374"/>
    <mergeCell ref="C371:C374"/>
    <mergeCell ref="D371:D373"/>
    <mergeCell ref="E371:E374"/>
    <mergeCell ref="J371:J374"/>
    <mergeCell ref="B367:B370"/>
    <mergeCell ref="L371:L374"/>
    <mergeCell ref="G364:G366"/>
    <mergeCell ref="F371:F374"/>
    <mergeCell ref="H364:H366"/>
    <mergeCell ref="J363:J366"/>
    <mergeCell ref="H355:H358"/>
    <mergeCell ref="H351:H354"/>
    <mergeCell ref="I351:I354"/>
    <mergeCell ref="J351:J354"/>
    <mergeCell ref="K351:K354"/>
    <mergeCell ref="L351:L354"/>
    <mergeCell ref="C359:C362"/>
    <mergeCell ref="E359:E362"/>
    <mergeCell ref="F359:F362"/>
    <mergeCell ref="G359:G362"/>
    <mergeCell ref="B355:B358"/>
    <mergeCell ref="C355:C358"/>
    <mergeCell ref="E355:E358"/>
    <mergeCell ref="F355:F358"/>
    <mergeCell ref="G355:G358"/>
    <mergeCell ref="N359:N361"/>
    <mergeCell ref="I355:I358"/>
    <mergeCell ref="J355:J358"/>
    <mergeCell ref="K355:K358"/>
    <mergeCell ref="L355:L358"/>
    <mergeCell ref="N355:N357"/>
    <mergeCell ref="H359:H362"/>
    <mergeCell ref="I359:I362"/>
    <mergeCell ref="J359:J362"/>
    <mergeCell ref="K359:K362"/>
    <mergeCell ref="L359:L362"/>
    <mergeCell ref="N283:N285"/>
    <mergeCell ref="N303:N305"/>
    <mergeCell ref="B343:B346"/>
    <mergeCell ref="C343:C346"/>
    <mergeCell ref="E343:E346"/>
    <mergeCell ref="F343:F346"/>
    <mergeCell ref="G343:G346"/>
    <mergeCell ref="K343:K346"/>
    <mergeCell ref="L343:L346"/>
    <mergeCell ref="N343:N345"/>
    <mergeCell ref="F351:F354"/>
    <mergeCell ref="G351:G354"/>
    <mergeCell ref="B347:B350"/>
    <mergeCell ref="C347:C350"/>
    <mergeCell ref="E347:E350"/>
    <mergeCell ref="F347:F350"/>
    <mergeCell ref="G347:G350"/>
    <mergeCell ref="N351:N353"/>
    <mergeCell ref="I347:I350"/>
    <mergeCell ref="J347:J350"/>
    <mergeCell ref="K347:K350"/>
    <mergeCell ref="L347:L350"/>
    <mergeCell ref="N347:N349"/>
    <mergeCell ref="K283:K286"/>
    <mergeCell ref="J283:J286"/>
    <mergeCell ref="I283:I286"/>
    <mergeCell ref="N291:N293"/>
    <mergeCell ref="N287:N289"/>
    <mergeCell ref="L283:L286"/>
    <mergeCell ref="N299:N301"/>
    <mergeCell ref="L299:L302"/>
    <mergeCell ref="K299:K302"/>
    <mergeCell ref="H283:H286"/>
    <mergeCell ref="J343:J346"/>
    <mergeCell ref="I319:I322"/>
    <mergeCell ref="L303:L306"/>
    <mergeCell ref="I303:I306"/>
    <mergeCell ref="H347:H350"/>
    <mergeCell ref="H343:H346"/>
    <mergeCell ref="I343:I346"/>
    <mergeCell ref="H303:H306"/>
    <mergeCell ref="H311:H314"/>
    <mergeCell ref="H335:H338"/>
    <mergeCell ref="E207:E210"/>
    <mergeCell ref="F207:F210"/>
    <mergeCell ref="G207:G210"/>
    <mergeCell ref="H207:H210"/>
    <mergeCell ref="I207:I210"/>
    <mergeCell ref="L291:L294"/>
    <mergeCell ref="K291:K294"/>
    <mergeCell ref="J291:J294"/>
    <mergeCell ref="I291:I294"/>
    <mergeCell ref="L287:L290"/>
    <mergeCell ref="K287:K290"/>
    <mergeCell ref="J287:J290"/>
    <mergeCell ref="I287:I290"/>
    <mergeCell ref="H287:H290"/>
    <mergeCell ref="F283:F286"/>
    <mergeCell ref="F279:F282"/>
    <mergeCell ref="G283:G286"/>
    <mergeCell ref="J303:J306"/>
    <mergeCell ref="E299:E302"/>
    <mergeCell ref="G263:G266"/>
    <mergeCell ref="G259:G262"/>
    <mergeCell ref="F175:F178"/>
    <mergeCell ref="B251:B254"/>
    <mergeCell ref="I231:I234"/>
    <mergeCell ref="G223:G226"/>
    <mergeCell ref="B207:B210"/>
    <mergeCell ref="C207:C210"/>
    <mergeCell ref="I223:I226"/>
    <mergeCell ref="B231:B234"/>
    <mergeCell ref="G247:G250"/>
    <mergeCell ref="C227:C230"/>
    <mergeCell ref="B227:B230"/>
    <mergeCell ref="B223:B226"/>
    <mergeCell ref="C223:C226"/>
    <mergeCell ref="E223:E226"/>
    <mergeCell ref="F223:F226"/>
    <mergeCell ref="C235:C238"/>
    <mergeCell ref="L179:L182"/>
    <mergeCell ref="F187:F190"/>
    <mergeCell ref="I191:I194"/>
    <mergeCell ref="H191:H194"/>
    <mergeCell ref="D187:D189"/>
    <mergeCell ref="I183:I186"/>
    <mergeCell ref="G179:G182"/>
    <mergeCell ref="E183:E186"/>
    <mergeCell ref="C191:C194"/>
    <mergeCell ref="D191:D193"/>
    <mergeCell ref="E191:E194"/>
    <mergeCell ref="F191:F194"/>
    <mergeCell ref="E195:E198"/>
    <mergeCell ref="G191:G194"/>
    <mergeCell ref="J195:J198"/>
    <mergeCell ref="J203:J206"/>
    <mergeCell ref="F199:F202"/>
    <mergeCell ref="G199:G202"/>
    <mergeCell ref="F195:F198"/>
    <mergeCell ref="G195:G198"/>
    <mergeCell ref="H195:H198"/>
    <mergeCell ref="G187:G190"/>
    <mergeCell ref="G171:G174"/>
    <mergeCell ref="H171:H174"/>
    <mergeCell ref="I171:I174"/>
    <mergeCell ref="E159:E162"/>
    <mergeCell ref="F179:F182"/>
    <mergeCell ref="B175:B178"/>
    <mergeCell ref="G175:G178"/>
    <mergeCell ref="H175:H178"/>
    <mergeCell ref="B187:B190"/>
    <mergeCell ref="C187:C190"/>
    <mergeCell ref="E179:E182"/>
    <mergeCell ref="H179:H182"/>
    <mergeCell ref="B195:B198"/>
    <mergeCell ref="B183:B186"/>
    <mergeCell ref="C183:C186"/>
    <mergeCell ref="B179:B182"/>
    <mergeCell ref="C179:C182"/>
    <mergeCell ref="D179:D181"/>
    <mergeCell ref="C195:C198"/>
    <mergeCell ref="D195:D197"/>
    <mergeCell ref="B191:B194"/>
    <mergeCell ref="D183:D185"/>
    <mergeCell ref="F183:F186"/>
    <mergeCell ref="G183:G186"/>
    <mergeCell ref="H183:H186"/>
    <mergeCell ref="E187:E190"/>
    <mergeCell ref="B155:B158"/>
    <mergeCell ref="C155:C158"/>
    <mergeCell ref="E155:E158"/>
    <mergeCell ref="C123:C126"/>
    <mergeCell ref="B119:B122"/>
    <mergeCell ref="K135:K138"/>
    <mergeCell ref="G155:G158"/>
    <mergeCell ref="F135:F138"/>
    <mergeCell ref="J151:J154"/>
    <mergeCell ref="I143:I146"/>
    <mergeCell ref="C151:C154"/>
    <mergeCell ref="I160:I162"/>
    <mergeCell ref="E135:E138"/>
    <mergeCell ref="C119:C122"/>
    <mergeCell ref="D167:D170"/>
    <mergeCell ref="E163:E166"/>
    <mergeCell ref="L147:L150"/>
    <mergeCell ref="L139:L142"/>
    <mergeCell ref="G139:G142"/>
    <mergeCell ref="G135:G138"/>
    <mergeCell ref="J155:J158"/>
    <mergeCell ref="B159:B162"/>
    <mergeCell ref="C159:C162"/>
    <mergeCell ref="D159:D162"/>
    <mergeCell ref="F151:F154"/>
    <mergeCell ref="E167:E170"/>
    <mergeCell ref="G160:G162"/>
    <mergeCell ref="H160:H162"/>
    <mergeCell ref="F155:F158"/>
    <mergeCell ref="G151:G154"/>
    <mergeCell ref="J175:J178"/>
    <mergeCell ref="J131:J134"/>
    <mergeCell ref="L155:L158"/>
    <mergeCell ref="J159:J162"/>
    <mergeCell ref="I151:I154"/>
    <mergeCell ref="H147:H150"/>
    <mergeCell ref="K151:K154"/>
    <mergeCell ref="H135:H138"/>
    <mergeCell ref="L135:L138"/>
    <mergeCell ref="I135:I138"/>
    <mergeCell ref="J135:J138"/>
    <mergeCell ref="B131:B134"/>
    <mergeCell ref="C131:C134"/>
    <mergeCell ref="E131:E134"/>
    <mergeCell ref="F131:F134"/>
    <mergeCell ref="G163:G166"/>
    <mergeCell ref="B139:B142"/>
    <mergeCell ref="C139:C142"/>
    <mergeCell ref="L151:L154"/>
    <mergeCell ref="J167:J170"/>
    <mergeCell ref="K167:K170"/>
    <mergeCell ref="I163:I166"/>
    <mergeCell ref="J163:J166"/>
    <mergeCell ref="H163:H166"/>
    <mergeCell ref="L163:L166"/>
    <mergeCell ref="B171:B174"/>
    <mergeCell ref="C171:C174"/>
    <mergeCell ref="D171:D173"/>
    <mergeCell ref="E171:E174"/>
    <mergeCell ref="J171:J174"/>
    <mergeCell ref="H155:H158"/>
    <mergeCell ref="H151:H154"/>
    <mergeCell ref="F443:F446"/>
    <mergeCell ref="G443:G446"/>
    <mergeCell ref="B431:B434"/>
    <mergeCell ref="F431:F434"/>
    <mergeCell ref="B439:B442"/>
    <mergeCell ref="C439:C442"/>
    <mergeCell ref="C431:C434"/>
    <mergeCell ref="B435:B438"/>
    <mergeCell ref="I431:I434"/>
    <mergeCell ref="I423:I426"/>
    <mergeCell ref="J387:J390"/>
    <mergeCell ref="J391:J394"/>
    <mergeCell ref="H387:H390"/>
    <mergeCell ref="J423:J426"/>
    <mergeCell ref="J395:J398"/>
    <mergeCell ref="J399:J402"/>
    <mergeCell ref="J431:J434"/>
    <mergeCell ref="I403:I406"/>
    <mergeCell ref="H399:H402"/>
    <mergeCell ref="G407:G410"/>
    <mergeCell ref="H407:H410"/>
    <mergeCell ref="F407:F410"/>
    <mergeCell ref="H403:H406"/>
    <mergeCell ref="G403:G406"/>
    <mergeCell ref="F411:F414"/>
    <mergeCell ref="C399:C402"/>
    <mergeCell ref="E399:E402"/>
    <mergeCell ref="F399:F402"/>
    <mergeCell ref="G399:G402"/>
    <mergeCell ref="G411:G414"/>
    <mergeCell ref="C387:C390"/>
    <mergeCell ref="E387:E390"/>
    <mergeCell ref="E115:E118"/>
    <mergeCell ref="J115:J118"/>
    <mergeCell ref="B135:B138"/>
    <mergeCell ref="C135:C138"/>
    <mergeCell ref="H131:H134"/>
    <mergeCell ref="J127:J130"/>
    <mergeCell ref="H123:H126"/>
    <mergeCell ref="J143:J146"/>
    <mergeCell ref="B127:B130"/>
    <mergeCell ref="C127:C130"/>
    <mergeCell ref="E127:E130"/>
    <mergeCell ref="F127:F130"/>
    <mergeCell ref="G127:G130"/>
    <mergeCell ref="H127:H130"/>
    <mergeCell ref="I127:I130"/>
    <mergeCell ref="B123:B126"/>
    <mergeCell ref="G123:G126"/>
    <mergeCell ref="F139:F142"/>
    <mergeCell ref="E119:E122"/>
    <mergeCell ref="B75:B78"/>
    <mergeCell ref="C75:C78"/>
    <mergeCell ref="E75:E78"/>
    <mergeCell ref="F75:F78"/>
    <mergeCell ref="G75:G78"/>
    <mergeCell ref="H75:H78"/>
    <mergeCell ref="I75:I78"/>
    <mergeCell ref="J75:J78"/>
    <mergeCell ref="K75:K78"/>
    <mergeCell ref="L75:L78"/>
    <mergeCell ref="B79:B82"/>
    <mergeCell ref="C79:C82"/>
    <mergeCell ref="E79:E82"/>
    <mergeCell ref="F79:F82"/>
    <mergeCell ref="G79:G82"/>
    <mergeCell ref="H79:H82"/>
    <mergeCell ref="B83:B86"/>
    <mergeCell ref="C83:C86"/>
    <mergeCell ref="E83:E86"/>
    <mergeCell ref="F83:F86"/>
    <mergeCell ref="G83:G86"/>
    <mergeCell ref="H83:H86"/>
    <mergeCell ref="I79:I82"/>
    <mergeCell ref="J79:J82"/>
    <mergeCell ref="K79:K82"/>
    <mergeCell ref="L79:L82"/>
    <mergeCell ref="I83:I86"/>
    <mergeCell ref="J83:J86"/>
    <mergeCell ref="L83:L86"/>
    <mergeCell ref="B63:B66"/>
    <mergeCell ref="C63:C66"/>
    <mergeCell ref="E63:E66"/>
    <mergeCell ref="F63:F66"/>
    <mergeCell ref="G63:G66"/>
    <mergeCell ref="H63:H66"/>
    <mergeCell ref="B67:B70"/>
    <mergeCell ref="C67:C70"/>
    <mergeCell ref="E67:E70"/>
    <mergeCell ref="F67:F70"/>
    <mergeCell ref="G67:G70"/>
    <mergeCell ref="H67:H70"/>
    <mergeCell ref="I67:I70"/>
    <mergeCell ref="J67:J70"/>
    <mergeCell ref="K67:K70"/>
    <mergeCell ref="L67:L70"/>
    <mergeCell ref="B71:B74"/>
    <mergeCell ref="C71:C74"/>
    <mergeCell ref="E71:E74"/>
    <mergeCell ref="F71:F74"/>
    <mergeCell ref="G71:G74"/>
    <mergeCell ref="H71:H74"/>
    <mergeCell ref="I71:I74"/>
    <mergeCell ref="J71:J74"/>
    <mergeCell ref="K71:K74"/>
    <mergeCell ref="L71:L74"/>
    <mergeCell ref="B55:B58"/>
    <mergeCell ref="C55:C58"/>
    <mergeCell ref="E55:E58"/>
    <mergeCell ref="F55:F58"/>
    <mergeCell ref="G55:G58"/>
    <mergeCell ref="H55:H58"/>
    <mergeCell ref="B59:B62"/>
    <mergeCell ref="C59:C62"/>
    <mergeCell ref="E59:E62"/>
    <mergeCell ref="F59:F62"/>
    <mergeCell ref="G59:G62"/>
    <mergeCell ref="H59:H62"/>
    <mergeCell ref="I59:I62"/>
    <mergeCell ref="J59:J62"/>
    <mergeCell ref="K59:K62"/>
    <mergeCell ref="L59:L62"/>
    <mergeCell ref="I55:I58"/>
    <mergeCell ref="J55:J58"/>
    <mergeCell ref="K55:K58"/>
    <mergeCell ref="L55:L58"/>
    <mergeCell ref="B47:B50"/>
    <mergeCell ref="C47:C50"/>
    <mergeCell ref="E47:E50"/>
    <mergeCell ref="F47:F50"/>
    <mergeCell ref="G47:G50"/>
    <mergeCell ref="H47:H50"/>
    <mergeCell ref="I47:I50"/>
    <mergeCell ref="J47:J50"/>
    <mergeCell ref="K47:K50"/>
    <mergeCell ref="L47:L50"/>
    <mergeCell ref="B51:B54"/>
    <mergeCell ref="C51:C54"/>
    <mergeCell ref="E51:E54"/>
    <mergeCell ref="F51:F54"/>
    <mergeCell ref="G51:G54"/>
    <mergeCell ref="H51:H54"/>
    <mergeCell ref="I51:I54"/>
    <mergeCell ref="J51:J54"/>
    <mergeCell ref="K51:K54"/>
    <mergeCell ref="L51:L54"/>
    <mergeCell ref="B39:B42"/>
    <mergeCell ref="C39:C42"/>
    <mergeCell ref="E39:E42"/>
    <mergeCell ref="F39:F42"/>
    <mergeCell ref="G39:G42"/>
    <mergeCell ref="H39:H42"/>
    <mergeCell ref="I39:I42"/>
    <mergeCell ref="J39:J42"/>
    <mergeCell ref="K39:K42"/>
    <mergeCell ref="L39:L42"/>
    <mergeCell ref="B43:B46"/>
    <mergeCell ref="C43:C46"/>
    <mergeCell ref="E43:E46"/>
    <mergeCell ref="F43:F46"/>
    <mergeCell ref="G43:G46"/>
    <mergeCell ref="H43:H46"/>
    <mergeCell ref="I43:I46"/>
    <mergeCell ref="J43:J46"/>
    <mergeCell ref="K43:K46"/>
    <mergeCell ref="L43:L46"/>
    <mergeCell ref="L12:L13"/>
    <mergeCell ref="E31:E34"/>
    <mergeCell ref="F31:F34"/>
    <mergeCell ref="G31:G34"/>
    <mergeCell ref="H31:H34"/>
    <mergeCell ref="B19:B22"/>
    <mergeCell ref="C19:C22"/>
    <mergeCell ref="B23:B26"/>
    <mergeCell ref="C23:C26"/>
    <mergeCell ref="E23:E26"/>
    <mergeCell ref="F23:F26"/>
    <mergeCell ref="I31:I34"/>
    <mergeCell ref="G23:G26"/>
    <mergeCell ref="H23:H26"/>
    <mergeCell ref="L23:L26"/>
    <mergeCell ref="B35:B38"/>
    <mergeCell ref="C35:C38"/>
    <mergeCell ref="E35:E38"/>
    <mergeCell ref="F35:F38"/>
    <mergeCell ref="G35:G38"/>
    <mergeCell ref="H35:H38"/>
    <mergeCell ref="I35:I38"/>
    <mergeCell ref="B31:B34"/>
    <mergeCell ref="C31:C34"/>
    <mergeCell ref="J35:J38"/>
    <mergeCell ref="K35:K38"/>
    <mergeCell ref="L35:L38"/>
    <mergeCell ref="I23:I26"/>
    <mergeCell ref="B8:Q8"/>
    <mergeCell ref="B10:B13"/>
    <mergeCell ref="C10:C13"/>
    <mergeCell ref="E10:E13"/>
    <mergeCell ref="F10:F13"/>
    <mergeCell ref="H27:H30"/>
    <mergeCell ref="G10:L10"/>
    <mergeCell ref="E19:E22"/>
    <mergeCell ref="F19:F22"/>
    <mergeCell ref="J19:J22"/>
    <mergeCell ref="Q11:Q13"/>
    <mergeCell ref="M10:Q10"/>
    <mergeCell ref="I12:J12"/>
    <mergeCell ref="I11:L11"/>
    <mergeCell ref="D20:D22"/>
    <mergeCell ref="O11:O13"/>
    <mergeCell ref="P11:P13"/>
    <mergeCell ref="B15:L18"/>
    <mergeCell ref="G11:G13"/>
    <mergeCell ref="H11:H13"/>
    <mergeCell ref="M11:M13"/>
    <mergeCell ref="N11:N13"/>
    <mergeCell ref="B27:B30"/>
    <mergeCell ref="C27:C30"/>
    <mergeCell ref="J27:J30"/>
    <mergeCell ref="K27:K30"/>
    <mergeCell ref="L27:L30"/>
    <mergeCell ref="E27:E30"/>
    <mergeCell ref="F27:F30"/>
    <mergeCell ref="G27:G30"/>
    <mergeCell ref="I27:I30"/>
    <mergeCell ref="K12:K13"/>
    <mergeCell ref="K443:K446"/>
    <mergeCell ref="L423:L426"/>
    <mergeCell ref="L443:L446"/>
    <mergeCell ref="K411:K414"/>
    <mergeCell ref="L411:L414"/>
    <mergeCell ref="K419:K422"/>
    <mergeCell ref="L435:L438"/>
    <mergeCell ref="K415:K418"/>
    <mergeCell ref="K431:K434"/>
    <mergeCell ref="L431:L434"/>
    <mergeCell ref="K439:K442"/>
    <mergeCell ref="L439:L442"/>
    <mergeCell ref="J411:J414"/>
    <mergeCell ref="J415:J418"/>
    <mergeCell ref="I439:I442"/>
    <mergeCell ref="I419:I422"/>
    <mergeCell ref="J435:J438"/>
    <mergeCell ref="K435:K438"/>
    <mergeCell ref="J427:J430"/>
    <mergeCell ref="L427:L430"/>
    <mergeCell ref="L519:L522"/>
    <mergeCell ref="I531:I534"/>
    <mergeCell ref="I447:I450"/>
    <mergeCell ref="K475:K478"/>
    <mergeCell ref="J447:J450"/>
    <mergeCell ref="F287:F290"/>
    <mergeCell ref="C307:C310"/>
    <mergeCell ref="B307:B310"/>
    <mergeCell ref="C287:C290"/>
    <mergeCell ref="H439:H442"/>
    <mergeCell ref="K479:K482"/>
    <mergeCell ref="I371:I374"/>
    <mergeCell ref="K371:K374"/>
    <mergeCell ref="K427:K430"/>
    <mergeCell ref="G427:G430"/>
    <mergeCell ref="I375:I378"/>
    <mergeCell ref="J375:J378"/>
    <mergeCell ref="K375:K378"/>
    <mergeCell ref="K407:K410"/>
    <mergeCell ref="K399:K402"/>
    <mergeCell ref="H383:H386"/>
    <mergeCell ref="J403:J406"/>
    <mergeCell ref="J407:J410"/>
    <mergeCell ref="I387:I390"/>
    <mergeCell ref="G439:G442"/>
    <mergeCell ref="H431:H434"/>
    <mergeCell ref="I391:I394"/>
    <mergeCell ref="I407:I410"/>
    <mergeCell ref="G431:G434"/>
    <mergeCell ref="K395:K398"/>
    <mergeCell ref="H411:H414"/>
    <mergeCell ref="I443:I446"/>
    <mergeCell ref="C275:C278"/>
    <mergeCell ref="B271:B274"/>
    <mergeCell ref="C271:C274"/>
    <mergeCell ref="B499:B502"/>
    <mergeCell ref="C499:C502"/>
    <mergeCell ref="E499:E502"/>
    <mergeCell ref="H255:H258"/>
    <mergeCell ref="I255:I258"/>
    <mergeCell ref="F499:F502"/>
    <mergeCell ref="G499:G502"/>
    <mergeCell ref="F291:F294"/>
    <mergeCell ref="N207:N209"/>
    <mergeCell ref="L251:L254"/>
    <mergeCell ref="N215:N217"/>
    <mergeCell ref="N259:N261"/>
    <mergeCell ref="L259:L262"/>
    <mergeCell ref="N263:N265"/>
    <mergeCell ref="L263:L266"/>
    <mergeCell ref="N251:N253"/>
    <mergeCell ref="L235:L238"/>
    <mergeCell ref="N243:N245"/>
    <mergeCell ref="C435:C438"/>
    <mergeCell ref="E435:E438"/>
    <mergeCell ref="F435:F438"/>
    <mergeCell ref="G435:G438"/>
    <mergeCell ref="E411:E414"/>
    <mergeCell ref="B411:B414"/>
    <mergeCell ref="E431:E434"/>
    <mergeCell ref="C411:C414"/>
    <mergeCell ref="E415:E418"/>
    <mergeCell ref="C415:C418"/>
    <mergeCell ref="L499:L502"/>
    <mergeCell ref="C299:C302"/>
    <mergeCell ref="B299:B302"/>
    <mergeCell ref="N295:N297"/>
    <mergeCell ref="L295:L298"/>
    <mergeCell ref="K295:K298"/>
    <mergeCell ref="J295:J298"/>
    <mergeCell ref="I295:I298"/>
    <mergeCell ref="H295:H298"/>
    <mergeCell ref="G295:G298"/>
    <mergeCell ref="F295:F298"/>
    <mergeCell ref="C295:C298"/>
    <mergeCell ref="B295:B298"/>
    <mergeCell ref="E295:E298"/>
    <mergeCell ref="G279:G282"/>
    <mergeCell ref="G271:G274"/>
    <mergeCell ref="B291:B294"/>
    <mergeCell ref="G287:G290"/>
    <mergeCell ref="C291:C294"/>
    <mergeCell ref="G275:G278"/>
    <mergeCell ref="E287:E290"/>
    <mergeCell ref="F271:F274"/>
    <mergeCell ref="B283:B286"/>
    <mergeCell ref="B279:B282"/>
    <mergeCell ref="C279:C282"/>
    <mergeCell ref="E279:E282"/>
    <mergeCell ref="B287:B290"/>
    <mergeCell ref="H291:H294"/>
    <mergeCell ref="G291:G294"/>
    <mergeCell ref="E283:E286"/>
    <mergeCell ref="C283:C286"/>
    <mergeCell ref="E291:E294"/>
    <mergeCell ref="B275:B278"/>
    <mergeCell ref="N311:N313"/>
    <mergeCell ref="L311:L314"/>
    <mergeCell ref="K311:K314"/>
    <mergeCell ref="J311:J314"/>
    <mergeCell ref="I311:I314"/>
    <mergeCell ref="G311:G314"/>
    <mergeCell ref="G303:G306"/>
    <mergeCell ref="C311:C314"/>
    <mergeCell ref="E311:E314"/>
    <mergeCell ref="B311:B314"/>
    <mergeCell ref="G307:G310"/>
    <mergeCell ref="F303:F306"/>
    <mergeCell ref="E303:E306"/>
    <mergeCell ref="C303:C306"/>
    <mergeCell ref="B303:B306"/>
    <mergeCell ref="F307:F310"/>
    <mergeCell ref="N307:N309"/>
    <mergeCell ref="L307:L310"/>
    <mergeCell ref="K307:K310"/>
    <mergeCell ref="J307:J310"/>
    <mergeCell ref="I307:I310"/>
    <mergeCell ref="H307:H310"/>
    <mergeCell ref="E307:E310"/>
    <mergeCell ref="K303:K306"/>
    <mergeCell ref="N319:N321"/>
    <mergeCell ref="L319:L322"/>
    <mergeCell ref="K319:K322"/>
    <mergeCell ref="J319:J322"/>
    <mergeCell ref="H315:H318"/>
    <mergeCell ref="N315:N317"/>
    <mergeCell ref="L315:L318"/>
    <mergeCell ref="C319:C322"/>
    <mergeCell ref="N327:N329"/>
    <mergeCell ref="K315:K318"/>
    <mergeCell ref="J315:J318"/>
    <mergeCell ref="B327:B330"/>
    <mergeCell ref="F319:F322"/>
    <mergeCell ref="B323:B326"/>
    <mergeCell ref="C323:C326"/>
    <mergeCell ref="E323:E326"/>
    <mergeCell ref="F323:F326"/>
    <mergeCell ref="E319:E322"/>
    <mergeCell ref="I315:I318"/>
    <mergeCell ref="F327:F330"/>
    <mergeCell ref="N323:N325"/>
    <mergeCell ref="H319:H322"/>
    <mergeCell ref="G319:G322"/>
    <mergeCell ref="H323:H326"/>
    <mergeCell ref="G315:G318"/>
    <mergeCell ref="F315:F318"/>
    <mergeCell ref="G323:G326"/>
    <mergeCell ref="E315:E318"/>
    <mergeCell ref="B315:B318"/>
    <mergeCell ref="C327:C330"/>
    <mergeCell ref="B319:B322"/>
    <mergeCell ref="E327:E330"/>
    <mergeCell ref="N335:N337"/>
    <mergeCell ref="L335:L338"/>
    <mergeCell ref="K335:K338"/>
    <mergeCell ref="J335:J338"/>
    <mergeCell ref="I335:I338"/>
    <mergeCell ref="B335:B338"/>
    <mergeCell ref="N331:N333"/>
    <mergeCell ref="L331:L334"/>
    <mergeCell ref="K331:K334"/>
    <mergeCell ref="J331:J334"/>
    <mergeCell ref="I331:I334"/>
    <mergeCell ref="H331:H334"/>
    <mergeCell ref="G335:G338"/>
    <mergeCell ref="F335:F338"/>
    <mergeCell ref="E335:E338"/>
    <mergeCell ref="L327:L330"/>
    <mergeCell ref="K327:K330"/>
    <mergeCell ref="J327:J330"/>
    <mergeCell ref="I327:I330"/>
    <mergeCell ref="G331:G334"/>
    <mergeCell ref="G327:G330"/>
    <mergeCell ref="H327:H330"/>
    <mergeCell ref="C335:C338"/>
    <mergeCell ref="C331:C334"/>
    <mergeCell ref="B331:B334"/>
    <mergeCell ref="F331:F334"/>
    <mergeCell ref="E331:E334"/>
    <mergeCell ref="B475:B478"/>
    <mergeCell ref="C475:C478"/>
    <mergeCell ref="E475:E478"/>
    <mergeCell ref="F475:F478"/>
    <mergeCell ref="G475:G478"/>
    <mergeCell ref="H475:H478"/>
    <mergeCell ref="N339:N341"/>
    <mergeCell ref="L339:L342"/>
    <mergeCell ref="K339:K342"/>
    <mergeCell ref="J339:J342"/>
    <mergeCell ref="I339:I342"/>
    <mergeCell ref="H339:H342"/>
    <mergeCell ref="G339:G342"/>
    <mergeCell ref="F339:F342"/>
    <mergeCell ref="E339:E342"/>
    <mergeCell ref="C339:C342"/>
    <mergeCell ref="B339:B342"/>
    <mergeCell ref="B391:B394"/>
    <mergeCell ref="H371:H374"/>
    <mergeCell ref="G371:G374"/>
    <mergeCell ref="B415:B418"/>
    <mergeCell ref="B387:B390"/>
    <mergeCell ref="B351:B354"/>
    <mergeCell ref="C351:C354"/>
    <mergeCell ref="E351:E354"/>
    <mergeCell ref="B359:B362"/>
    <mergeCell ref="B427:B430"/>
    <mergeCell ref="C427:C430"/>
    <mergeCell ref="E427:E430"/>
    <mergeCell ref="F427:F430"/>
    <mergeCell ref="I427:I430"/>
    <mergeCell ref="H419:H422"/>
    <mergeCell ref="K447:K450"/>
    <mergeCell ref="J439:J442"/>
    <mergeCell ref="C531:C534"/>
    <mergeCell ref="E531:E534"/>
    <mergeCell ref="F531:F534"/>
    <mergeCell ref="G531:G534"/>
    <mergeCell ref="H531:H534"/>
    <mergeCell ref="J31:J34"/>
    <mergeCell ref="I475:I478"/>
    <mergeCell ref="J475:J478"/>
    <mergeCell ref="H267:H270"/>
    <mergeCell ref="C231:C234"/>
    <mergeCell ref="C315:C318"/>
    <mergeCell ref="F311:F314"/>
    <mergeCell ref="I451:I454"/>
    <mergeCell ref="H447:H450"/>
    <mergeCell ref="L407:L410"/>
    <mergeCell ref="L399:L402"/>
    <mergeCell ref="L403:L406"/>
    <mergeCell ref="E439:E442"/>
    <mergeCell ref="F439:F442"/>
    <mergeCell ref="E123:E126"/>
    <mergeCell ref="F383:F386"/>
    <mergeCell ref="F119:F122"/>
    <mergeCell ref="K83:K86"/>
    <mergeCell ref="J299:J302"/>
    <mergeCell ref="I299:I302"/>
    <mergeCell ref="H299:H302"/>
    <mergeCell ref="G299:G302"/>
    <mergeCell ref="F299:F302"/>
    <mergeCell ref="K31:K34"/>
    <mergeCell ref="L31:L34"/>
    <mergeCell ref="L475:L478"/>
    <mergeCell ref="K207:K210"/>
    <mergeCell ref="K247:K250"/>
    <mergeCell ref="K263:K266"/>
    <mergeCell ref="J219:J222"/>
    <mergeCell ref="K203:K206"/>
    <mergeCell ref="L203:L206"/>
    <mergeCell ref="I63:I66"/>
    <mergeCell ref="J63:J66"/>
    <mergeCell ref="K63:K66"/>
    <mergeCell ref="L63:L66"/>
    <mergeCell ref="L115:L118"/>
    <mergeCell ref="K115:K118"/>
    <mergeCell ref="K163:K166"/>
    <mergeCell ref="L123:L126"/>
    <mergeCell ref="K364:K366"/>
    <mergeCell ref="K251:K254"/>
    <mergeCell ref="K323:K326"/>
    <mergeCell ref="L131:L134"/>
    <mergeCell ref="I167:I170"/>
    <mergeCell ref="I175:I178"/>
    <mergeCell ref="J107:J110"/>
    <mergeCell ref="K155:K158"/>
    <mergeCell ref="K187:K190"/>
    <mergeCell ref="I323:I326"/>
    <mergeCell ref="J323:J326"/>
    <mergeCell ref="L323:L326"/>
    <mergeCell ref="I435:I438"/>
    <mergeCell ref="I383:I386"/>
    <mergeCell ref="K219:K222"/>
    <mergeCell ref="L247:L250"/>
    <mergeCell ref="J247:J250"/>
    <mergeCell ref="U164:W164"/>
    <mergeCell ref="I195:I198"/>
    <mergeCell ref="K195:K198"/>
    <mergeCell ref="L195:L198"/>
    <mergeCell ref="L167:L170"/>
    <mergeCell ref="J267:J270"/>
    <mergeCell ref="I239:I242"/>
    <mergeCell ref="J199:J202"/>
    <mergeCell ref="K199:K202"/>
    <mergeCell ref="L191:L194"/>
    <mergeCell ref="N267:N269"/>
    <mergeCell ref="J255:J258"/>
    <mergeCell ref="K255:K258"/>
    <mergeCell ref="H271:H274"/>
    <mergeCell ref="H259:H262"/>
    <mergeCell ref="L255:L258"/>
    <mergeCell ref="N255:N257"/>
    <mergeCell ref="N239:N241"/>
    <mergeCell ref="N167:N170"/>
    <mergeCell ref="N171:N173"/>
    <mergeCell ref="N183:N185"/>
    <mergeCell ref="L183:L186"/>
    <mergeCell ref="K183:K186"/>
    <mergeCell ref="K171:K174"/>
    <mergeCell ref="H263:H266"/>
    <mergeCell ref="I263:I266"/>
    <mergeCell ref="J263:J266"/>
    <mergeCell ref="K175:K178"/>
    <mergeCell ref="J215:J218"/>
    <mergeCell ref="J231:J234"/>
    <mergeCell ref="J179:J182"/>
    <mergeCell ref="L175:L178"/>
    <mergeCell ref="F239:F242"/>
    <mergeCell ref="F247:F250"/>
    <mergeCell ref="E247:E250"/>
    <mergeCell ref="D203:D205"/>
    <mergeCell ref="E203:E206"/>
    <mergeCell ref="F203:F206"/>
    <mergeCell ref="E275:E278"/>
    <mergeCell ref="F275:F278"/>
    <mergeCell ref="E271:E274"/>
    <mergeCell ref="N279:N281"/>
    <mergeCell ref="N271:N273"/>
    <mergeCell ref="I279:I282"/>
    <mergeCell ref="J279:J282"/>
    <mergeCell ref="H227:H230"/>
    <mergeCell ref="K223:K226"/>
    <mergeCell ref="K279:K282"/>
    <mergeCell ref="L275:L278"/>
    <mergeCell ref="L271:L274"/>
    <mergeCell ref="N223:N225"/>
    <mergeCell ref="H279:H282"/>
    <mergeCell ref="L279:L282"/>
    <mergeCell ref="N219:N221"/>
    <mergeCell ref="L231:L234"/>
    <mergeCell ref="L207:L210"/>
    <mergeCell ref="J223:J226"/>
    <mergeCell ref="L223:L226"/>
    <mergeCell ref="J207:J210"/>
    <mergeCell ref="J211:J214"/>
    <mergeCell ref="K211:K214"/>
    <mergeCell ref="L211:L214"/>
    <mergeCell ref="H203:H206"/>
    <mergeCell ref="G203:G206"/>
    <mergeCell ref="H103:H106"/>
    <mergeCell ref="K103:K106"/>
    <mergeCell ref="D199:D201"/>
    <mergeCell ref="E199:E202"/>
    <mergeCell ref="N159:N162"/>
    <mergeCell ref="B103:B106"/>
    <mergeCell ref="B143:B146"/>
    <mergeCell ref="C143:C146"/>
    <mergeCell ref="G143:G146"/>
    <mergeCell ref="E139:E142"/>
    <mergeCell ref="F147:F150"/>
    <mergeCell ref="G147:G150"/>
    <mergeCell ref="H139:H142"/>
    <mergeCell ref="I123:I126"/>
    <mergeCell ref="J147:J150"/>
    <mergeCell ref="K147:K150"/>
    <mergeCell ref="I139:I142"/>
    <mergeCell ref="J139:J142"/>
    <mergeCell ref="K139:K142"/>
    <mergeCell ref="K127:K130"/>
    <mergeCell ref="K131:K134"/>
    <mergeCell ref="K143:K146"/>
    <mergeCell ref="I131:I134"/>
    <mergeCell ref="E143:E146"/>
    <mergeCell ref="F143:F146"/>
    <mergeCell ref="I147:I150"/>
    <mergeCell ref="H143:H146"/>
    <mergeCell ref="D119:D120"/>
    <mergeCell ref="F123:F126"/>
    <mergeCell ref="B115:B118"/>
    <mergeCell ref="C115:C118"/>
    <mergeCell ref="D115:D116"/>
    <mergeCell ref="J111:J114"/>
    <mergeCell ref="H107:H110"/>
    <mergeCell ref="B99:B102"/>
    <mergeCell ref="C99:C102"/>
    <mergeCell ref="E99:E102"/>
    <mergeCell ref="F99:F102"/>
    <mergeCell ref="G99:G102"/>
    <mergeCell ref="H99:H102"/>
    <mergeCell ref="J99:J102"/>
    <mergeCell ref="L91:L94"/>
    <mergeCell ref="B95:B98"/>
    <mergeCell ref="C95:C98"/>
    <mergeCell ref="E95:E98"/>
    <mergeCell ref="F95:F98"/>
    <mergeCell ref="G95:G98"/>
    <mergeCell ref="H95:H98"/>
    <mergeCell ref="I95:I98"/>
    <mergeCell ref="B91:B94"/>
    <mergeCell ref="C91:C94"/>
    <mergeCell ref="E91:E94"/>
    <mergeCell ref="F91:F94"/>
    <mergeCell ref="G91:G94"/>
    <mergeCell ref="H91:H94"/>
    <mergeCell ref="D91:D92"/>
    <mergeCell ref="K91:K94"/>
    <mergeCell ref="J95:J98"/>
    <mergeCell ref="K95:K98"/>
    <mergeCell ref="D95:D96"/>
    <mergeCell ref="D99:D100"/>
    <mergeCell ref="C103:C106"/>
    <mergeCell ref="F103:F106"/>
    <mergeCell ref="G103:G106"/>
    <mergeCell ref="L95:L98"/>
    <mergeCell ref="E103:E106"/>
    <mergeCell ref="I99:I102"/>
    <mergeCell ref="N199:N201"/>
    <mergeCell ref="N203:N205"/>
    <mergeCell ref="N195:N197"/>
    <mergeCell ref="J191:J194"/>
    <mergeCell ref="N191:N193"/>
    <mergeCell ref="L103:L106"/>
    <mergeCell ref="G131:G134"/>
    <mergeCell ref="N187:N189"/>
    <mergeCell ref="K191:K194"/>
    <mergeCell ref="N175:N177"/>
    <mergeCell ref="N179:N181"/>
    <mergeCell ref="L187:L190"/>
    <mergeCell ref="K179:K182"/>
    <mergeCell ref="B107:B110"/>
    <mergeCell ref="D107:D108"/>
    <mergeCell ref="F167:F170"/>
    <mergeCell ref="G167:G170"/>
    <mergeCell ref="H167:H170"/>
    <mergeCell ref="B147:B150"/>
    <mergeCell ref="C147:C150"/>
    <mergeCell ref="E147:E150"/>
    <mergeCell ref="C107:C110"/>
    <mergeCell ref="E107:E110"/>
    <mergeCell ref="F107:F110"/>
    <mergeCell ref="G107:G110"/>
    <mergeCell ref="B151:B154"/>
    <mergeCell ref="F159:F162"/>
    <mergeCell ref="E151:E154"/>
    <mergeCell ref="L143:L146"/>
    <mergeCell ref="I211:I214"/>
    <mergeCell ref="B163:B166"/>
    <mergeCell ref="C163:C166"/>
    <mergeCell ref="F171:F174"/>
    <mergeCell ref="C175:C178"/>
    <mergeCell ref="D175:D177"/>
    <mergeCell ref="E175:E178"/>
    <mergeCell ref="F163:F166"/>
    <mergeCell ref="B167:B170"/>
    <mergeCell ref="C167:C170"/>
    <mergeCell ref="H199:H202"/>
    <mergeCell ref="J183:J186"/>
    <mergeCell ref="I179:I182"/>
    <mergeCell ref="D103:D104"/>
    <mergeCell ref="K99:K102"/>
    <mergeCell ref="L99:L102"/>
    <mergeCell ref="I103:I106"/>
    <mergeCell ref="J103:J106"/>
    <mergeCell ref="I155:I158"/>
    <mergeCell ref="G111:G114"/>
    <mergeCell ref="H111:H114"/>
    <mergeCell ref="F115:F118"/>
    <mergeCell ref="G119:G122"/>
    <mergeCell ref="B111:B114"/>
    <mergeCell ref="C111:C114"/>
    <mergeCell ref="E111:E114"/>
    <mergeCell ref="F111:F114"/>
    <mergeCell ref="L127:L130"/>
    <mergeCell ref="J123:J126"/>
    <mergeCell ref="K123:K126"/>
    <mergeCell ref="G115:G118"/>
    <mergeCell ref="I111:I114"/>
    <mergeCell ref="C199:C202"/>
    <mergeCell ref="B219:B222"/>
    <mergeCell ref="C215:C218"/>
    <mergeCell ref="E215:E218"/>
    <mergeCell ref="F215:F218"/>
    <mergeCell ref="C219:C222"/>
    <mergeCell ref="E219:E222"/>
    <mergeCell ref="H223:H226"/>
    <mergeCell ref="E231:E234"/>
    <mergeCell ref="F231:F234"/>
    <mergeCell ref="B235:B238"/>
    <mergeCell ref="B239:B242"/>
    <mergeCell ref="C239:C242"/>
    <mergeCell ref="I203:I206"/>
    <mergeCell ref="I199:I202"/>
    <mergeCell ref="C211:C214"/>
    <mergeCell ref="E211:E214"/>
    <mergeCell ref="F211:F214"/>
    <mergeCell ref="G235:G238"/>
    <mergeCell ref="F219:F222"/>
    <mergeCell ref="H215:H218"/>
    <mergeCell ref="G227:G230"/>
    <mergeCell ref="G231:G234"/>
    <mergeCell ref="H231:H234"/>
    <mergeCell ref="H235:H238"/>
    <mergeCell ref="I235:I238"/>
    <mergeCell ref="E235:E238"/>
    <mergeCell ref="F235:F238"/>
    <mergeCell ref="G239:G242"/>
    <mergeCell ref="E239:E242"/>
    <mergeCell ref="E227:E230"/>
    <mergeCell ref="F227:F230"/>
    <mergeCell ref="B255:B258"/>
    <mergeCell ref="C251:C254"/>
    <mergeCell ref="C255:C258"/>
    <mergeCell ref="B267:B270"/>
    <mergeCell ref="B263:B266"/>
    <mergeCell ref="C263:C266"/>
    <mergeCell ref="E263:E266"/>
    <mergeCell ref="F263:F266"/>
    <mergeCell ref="B259:B262"/>
    <mergeCell ref="C259:C262"/>
    <mergeCell ref="E259:E262"/>
    <mergeCell ref="F259:F262"/>
    <mergeCell ref="G243:G246"/>
    <mergeCell ref="L171:L174"/>
    <mergeCell ref="G211:G214"/>
    <mergeCell ref="H211:H214"/>
    <mergeCell ref="I215:I218"/>
    <mergeCell ref="B215:B218"/>
    <mergeCell ref="H219:H222"/>
    <mergeCell ref="B211:B214"/>
    <mergeCell ref="G215:G218"/>
    <mergeCell ref="L215:L218"/>
    <mergeCell ref="G219:G222"/>
    <mergeCell ref="L219:L222"/>
    <mergeCell ref="I219:I222"/>
    <mergeCell ref="L199:L202"/>
    <mergeCell ref="B243:B246"/>
    <mergeCell ref="B247:B250"/>
    <mergeCell ref="C247:C250"/>
    <mergeCell ref="B203:B206"/>
    <mergeCell ref="C203:C206"/>
    <mergeCell ref="B199:B202"/>
    <mergeCell ref="N567:N570"/>
    <mergeCell ref="M571:M574"/>
    <mergeCell ref="N571:N574"/>
    <mergeCell ref="N563:N566"/>
    <mergeCell ref="M563:M566"/>
    <mergeCell ref="K215:K218"/>
    <mergeCell ref="K235:K238"/>
    <mergeCell ref="K267:K270"/>
    <mergeCell ref="L267:L270"/>
    <mergeCell ref="K231:K234"/>
    <mergeCell ref="J239:J242"/>
    <mergeCell ref="N227:N229"/>
    <mergeCell ref="N235:N237"/>
    <mergeCell ref="C267:C270"/>
    <mergeCell ref="G251:G254"/>
    <mergeCell ref="F251:F254"/>
    <mergeCell ref="G255:G258"/>
    <mergeCell ref="F267:F270"/>
    <mergeCell ref="E267:E270"/>
    <mergeCell ref="C243:C246"/>
    <mergeCell ref="E243:E246"/>
    <mergeCell ref="F243:F246"/>
    <mergeCell ref="N231:N233"/>
    <mergeCell ref="I227:I230"/>
    <mergeCell ref="J227:J230"/>
    <mergeCell ref="K227:K230"/>
    <mergeCell ref="L227:L230"/>
    <mergeCell ref="H247:H250"/>
    <mergeCell ref="J235:J238"/>
    <mergeCell ref="J243:J246"/>
    <mergeCell ref="G267:G270"/>
    <mergeCell ref="E251:E254"/>
    <mergeCell ref="C702:Q703"/>
    <mergeCell ref="J459:J462"/>
    <mergeCell ref="M575:M578"/>
    <mergeCell ref="N575:N578"/>
    <mergeCell ref="M567:M570"/>
    <mergeCell ref="N559:N562"/>
    <mergeCell ref="H239:H242"/>
    <mergeCell ref="M559:M562"/>
    <mergeCell ref="K243:K246"/>
    <mergeCell ref="L243:L246"/>
    <mergeCell ref="H275:H278"/>
    <mergeCell ref="H251:H254"/>
    <mergeCell ref="I267:I270"/>
    <mergeCell ref="J259:J262"/>
    <mergeCell ref="K259:K262"/>
    <mergeCell ref="J251:J254"/>
    <mergeCell ref="I259:I262"/>
    <mergeCell ref="K239:K242"/>
    <mergeCell ref="L239:L242"/>
    <mergeCell ref="H243:H246"/>
    <mergeCell ref="I243:I246"/>
    <mergeCell ref="E255:E258"/>
    <mergeCell ref="I251:I254"/>
    <mergeCell ref="I247:I250"/>
    <mergeCell ref="N275:N277"/>
    <mergeCell ref="I271:I274"/>
    <mergeCell ref="J271:J274"/>
    <mergeCell ref="K271:K274"/>
    <mergeCell ref="I275:I278"/>
    <mergeCell ref="J275:J278"/>
    <mergeCell ref="K275:K278"/>
    <mergeCell ref="F255:F258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34" fitToHeight="0" orientation="portrait" r:id="rId1"/>
  <headerFooter differentFirst="1" alignWithMargins="0">
    <oddHeader>&amp;C&amp;P</oddHeader>
  </headerFooter>
  <ignoredErrors>
    <ignoredError sqref="O602:P602 Q602 P21:Q21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17"/>
  <sheetViews>
    <sheetView workbookViewId="0">
      <selection activeCell="B3" sqref="B3:F3"/>
    </sheetView>
  </sheetViews>
  <sheetFormatPr defaultRowHeight="12.75" x14ac:dyDescent="0.2"/>
  <cols>
    <col min="1" max="1" width="45.85546875" customWidth="1"/>
    <col min="2" max="2" width="9" customWidth="1"/>
    <col min="3" max="3" width="11" customWidth="1"/>
    <col min="4" max="4" width="13.28515625" customWidth="1"/>
    <col min="5" max="5" width="12.140625" customWidth="1"/>
    <col min="6" max="6" width="12.28515625" customWidth="1"/>
  </cols>
  <sheetData>
    <row r="1" spans="1:6" ht="18.75" x14ac:dyDescent="0.2">
      <c r="A1" s="24" t="s">
        <v>111</v>
      </c>
      <c r="B1" s="24"/>
      <c r="C1" s="30"/>
      <c r="D1" s="30"/>
      <c r="E1" s="30"/>
      <c r="F1" s="30"/>
    </row>
    <row r="3" spans="1:6" ht="78.75" customHeight="1" x14ac:dyDescent="0.2">
      <c r="A3" s="22" t="s">
        <v>104</v>
      </c>
      <c r="B3" s="944"/>
      <c r="C3" s="945"/>
      <c r="D3" s="945"/>
      <c r="E3" s="945"/>
      <c r="F3" s="946"/>
    </row>
    <row r="4" spans="1:6" ht="37.5" x14ac:dyDescent="0.2">
      <c r="A4" s="22" t="s">
        <v>105</v>
      </c>
      <c r="B4" s="944"/>
      <c r="C4" s="945"/>
      <c r="D4" s="945"/>
      <c r="E4" s="945"/>
      <c r="F4" s="946"/>
    </row>
    <row r="5" spans="1:6" ht="18.75" x14ac:dyDescent="0.2">
      <c r="A5" s="22" t="s">
        <v>106</v>
      </c>
      <c r="B5" s="944"/>
      <c r="C5" s="945"/>
      <c r="D5" s="945"/>
      <c r="E5" s="945"/>
      <c r="F5" s="946"/>
    </row>
    <row r="6" spans="1:6" ht="18.75" x14ac:dyDescent="0.2">
      <c r="A6" s="22" t="s">
        <v>107</v>
      </c>
      <c r="B6" s="944"/>
      <c r="C6" s="945"/>
      <c r="D6" s="945"/>
      <c r="E6" s="945"/>
      <c r="F6" s="946"/>
    </row>
    <row r="7" spans="1:6" ht="18.75" x14ac:dyDescent="0.2">
      <c r="A7" s="22" t="s">
        <v>108</v>
      </c>
      <c r="B7" s="944"/>
      <c r="C7" s="945"/>
      <c r="D7" s="945"/>
      <c r="E7" s="945"/>
      <c r="F7" s="946"/>
    </row>
    <row r="8" spans="1:6" ht="18.75" x14ac:dyDescent="0.2">
      <c r="A8" s="22" t="s">
        <v>109</v>
      </c>
      <c r="B8" s="944"/>
      <c r="C8" s="945"/>
      <c r="D8" s="945"/>
      <c r="E8" s="945"/>
      <c r="F8" s="946"/>
    </row>
    <row r="9" spans="1:6" ht="59.25" customHeight="1" x14ac:dyDescent="0.2">
      <c r="A9" s="947" t="s">
        <v>101</v>
      </c>
      <c r="B9" s="944" t="s">
        <v>132</v>
      </c>
      <c r="C9" s="945"/>
      <c r="D9" s="945"/>
      <c r="E9" s="945"/>
      <c r="F9" s="946"/>
    </row>
    <row r="10" spans="1:6" ht="63.75" x14ac:dyDescent="0.2">
      <c r="A10" s="948"/>
      <c r="B10" s="29" t="s">
        <v>130</v>
      </c>
      <c r="C10" s="29" t="s">
        <v>134</v>
      </c>
      <c r="D10" s="29" t="s">
        <v>133</v>
      </c>
      <c r="E10" s="29" t="s">
        <v>135</v>
      </c>
      <c r="F10" s="29" t="s">
        <v>136</v>
      </c>
    </row>
    <row r="11" spans="1:6" ht="15.75" x14ac:dyDescent="0.2">
      <c r="A11" s="949"/>
      <c r="B11" s="27">
        <v>2021</v>
      </c>
      <c r="C11" s="28"/>
      <c r="D11" s="28"/>
      <c r="E11" s="28"/>
      <c r="F11" s="28"/>
    </row>
    <row r="12" spans="1:6" ht="15.75" x14ac:dyDescent="0.2">
      <c r="A12" s="949"/>
      <c r="B12" s="25">
        <v>2022</v>
      </c>
      <c r="C12" s="26"/>
      <c r="D12" s="26"/>
      <c r="E12" s="26"/>
      <c r="F12" s="26"/>
    </row>
    <row r="13" spans="1:6" ht="15.75" x14ac:dyDescent="0.2">
      <c r="A13" s="949"/>
      <c r="B13" s="25">
        <v>2023</v>
      </c>
      <c r="C13" s="26"/>
      <c r="D13" s="26"/>
      <c r="E13" s="26"/>
      <c r="F13" s="26"/>
    </row>
    <row r="14" spans="1:6" ht="15.75" x14ac:dyDescent="0.2">
      <c r="A14" s="949"/>
      <c r="B14" s="25" t="s">
        <v>131</v>
      </c>
      <c r="C14" s="26"/>
      <c r="D14" s="26"/>
      <c r="E14" s="26"/>
      <c r="F14" s="26"/>
    </row>
    <row r="15" spans="1:6" ht="81.599999999999994" customHeight="1" x14ac:dyDescent="0.2">
      <c r="A15" s="950"/>
      <c r="B15" s="951" t="s">
        <v>129</v>
      </c>
      <c r="C15" s="951"/>
      <c r="D15" s="951"/>
      <c r="E15" s="951"/>
      <c r="F15" s="951"/>
    </row>
    <row r="16" spans="1:6" ht="56.25" x14ac:dyDescent="0.2">
      <c r="A16" s="22" t="s">
        <v>110</v>
      </c>
      <c r="B16" s="944"/>
      <c r="C16" s="945"/>
      <c r="D16" s="945"/>
      <c r="E16" s="945"/>
      <c r="F16" s="946"/>
    </row>
    <row r="17" ht="18" customHeight="1" x14ac:dyDescent="0.2"/>
  </sheetData>
  <mergeCells count="10">
    <mergeCell ref="B16:F16"/>
    <mergeCell ref="A9:A15"/>
    <mergeCell ref="B9:F9"/>
    <mergeCell ref="B15:F15"/>
    <mergeCell ref="B3:F3"/>
    <mergeCell ref="B4:F4"/>
    <mergeCell ref="B5:F5"/>
    <mergeCell ref="B6:F6"/>
    <mergeCell ref="B7:F7"/>
    <mergeCell ref="B8:F8"/>
  </mergeCells>
  <pageMargins left="1.1811023622047245" right="0.59055118110236227" top="0.78740157480314965" bottom="0.78740157480314965" header="0.31496062992125984" footer="0.31496062992125984"/>
  <pageSetup paperSize="9" scale="8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-0.249977111117893"/>
    <pageSetUpPr fitToPage="1"/>
  </sheetPr>
  <dimension ref="B1:S72"/>
  <sheetViews>
    <sheetView view="pageBreakPreview" topLeftCell="A6" zoomScale="60" zoomScaleNormal="75" workbookViewId="0">
      <pane ySplit="1080" topLeftCell="A16" activePane="bottomLeft"/>
      <selection activeCell="H2" sqref="H2"/>
      <selection pane="bottomLeft" activeCell="I68" sqref="I68"/>
    </sheetView>
  </sheetViews>
  <sheetFormatPr defaultRowHeight="12.75" x14ac:dyDescent="0.2"/>
  <cols>
    <col min="1" max="1" width="2.85546875" customWidth="1"/>
    <col min="2" max="2" width="17.85546875" customWidth="1"/>
    <col min="3" max="3" width="27.7109375" customWidth="1"/>
    <col min="4" max="4" width="28" customWidth="1"/>
    <col min="5" max="6" width="13.5703125" customWidth="1"/>
    <col min="7" max="7" width="14.7109375" hidden="1" customWidth="1"/>
    <col min="8" max="8" width="14.5703125" customWidth="1"/>
    <col min="9" max="9" width="14.140625" customWidth="1"/>
    <col min="10" max="10" width="15" customWidth="1"/>
    <col min="11" max="11" width="15" hidden="1" customWidth="1"/>
    <col min="12" max="12" width="13.7109375" customWidth="1"/>
    <col min="13" max="13" width="21.28515625" customWidth="1"/>
    <col min="14" max="14" width="32.5703125" customWidth="1"/>
  </cols>
  <sheetData>
    <row r="1" spans="2:13" ht="18.75" x14ac:dyDescent="0.2">
      <c r="M1" s="164" t="s">
        <v>509</v>
      </c>
    </row>
    <row r="2" spans="2:13" ht="18.75" x14ac:dyDescent="0.2">
      <c r="M2" s="164" t="s">
        <v>508</v>
      </c>
    </row>
    <row r="3" spans="2:13" ht="18.75" x14ac:dyDescent="0.2">
      <c r="B3" s="31" t="s">
        <v>138</v>
      </c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</row>
    <row r="4" spans="2:13" ht="18.75" x14ac:dyDescent="0.2">
      <c r="B4" s="31" t="s">
        <v>139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</row>
    <row r="5" spans="2:13" ht="13.5" thickBot="1" x14ac:dyDescent="0.25"/>
    <row r="6" spans="2:13" ht="94.5" thickBot="1" x14ac:dyDescent="0.25">
      <c r="B6" s="159" t="s">
        <v>670</v>
      </c>
      <c r="C6" s="160" t="s">
        <v>112</v>
      </c>
      <c r="D6" s="159" t="s">
        <v>113</v>
      </c>
      <c r="E6" s="160" t="s">
        <v>119</v>
      </c>
      <c r="F6" s="159" t="s">
        <v>114</v>
      </c>
      <c r="G6" s="160">
        <v>2020</v>
      </c>
      <c r="H6" s="159">
        <v>2021</v>
      </c>
      <c r="I6" s="160">
        <v>2022</v>
      </c>
      <c r="J6" s="159">
        <v>2023</v>
      </c>
      <c r="K6" s="159">
        <v>2024</v>
      </c>
      <c r="L6" s="160" t="s">
        <v>120</v>
      </c>
      <c r="M6" s="159" t="s">
        <v>137</v>
      </c>
    </row>
    <row r="7" spans="2:13" ht="19.5" thickBot="1" x14ac:dyDescent="0.25">
      <c r="B7" s="161">
        <v>1</v>
      </c>
      <c r="C7" s="162">
        <v>2</v>
      </c>
      <c r="D7" s="161">
        <v>3</v>
      </c>
      <c r="E7" s="162">
        <v>4</v>
      </c>
      <c r="F7" s="161">
        <v>5</v>
      </c>
      <c r="G7" s="162">
        <v>6</v>
      </c>
      <c r="H7" s="161">
        <v>6</v>
      </c>
      <c r="I7" s="162">
        <v>7</v>
      </c>
      <c r="J7" s="161">
        <v>8</v>
      </c>
      <c r="K7" s="161">
        <v>9</v>
      </c>
      <c r="L7" s="162">
        <v>10</v>
      </c>
      <c r="M7" s="161">
        <v>11</v>
      </c>
    </row>
    <row r="8" spans="2:13" ht="50.25" customHeight="1" thickBot="1" x14ac:dyDescent="0.25">
      <c r="B8" s="165">
        <v>1</v>
      </c>
      <c r="C8" s="982" t="s">
        <v>659</v>
      </c>
      <c r="D8" s="983"/>
      <c r="E8" s="983"/>
      <c r="F8" s="983"/>
      <c r="G8" s="983"/>
      <c r="H8" s="983"/>
      <c r="I8" s="983"/>
      <c r="J8" s="983"/>
      <c r="K8" s="983"/>
      <c r="L8" s="983"/>
      <c r="M8" s="984"/>
    </row>
    <row r="9" spans="2:13" ht="79.5" customHeight="1" x14ac:dyDescent="0.2">
      <c r="B9" s="141" t="s">
        <v>183</v>
      </c>
      <c r="C9" s="966" t="s">
        <v>180</v>
      </c>
      <c r="D9" s="967"/>
      <c r="E9" s="146" t="s">
        <v>239</v>
      </c>
      <c r="F9" s="146">
        <v>41.1</v>
      </c>
      <c r="G9" s="146">
        <v>41.1</v>
      </c>
      <c r="H9" s="146">
        <v>44</v>
      </c>
      <c r="I9" s="146">
        <v>48</v>
      </c>
      <c r="J9" s="146">
        <v>52.1</v>
      </c>
      <c r="K9" s="146">
        <v>55.7</v>
      </c>
      <c r="L9" s="178">
        <v>57.1</v>
      </c>
      <c r="M9" s="166" t="s">
        <v>116</v>
      </c>
    </row>
    <row r="10" spans="2:13" ht="82.5" customHeight="1" x14ac:dyDescent="0.2">
      <c r="B10" s="141" t="s">
        <v>184</v>
      </c>
      <c r="C10" s="958" t="s">
        <v>650</v>
      </c>
      <c r="D10" s="951"/>
      <c r="E10" s="142" t="s">
        <v>239</v>
      </c>
      <c r="F10" s="142">
        <v>20</v>
      </c>
      <c r="G10" s="142">
        <v>20</v>
      </c>
      <c r="H10" s="142">
        <v>20</v>
      </c>
      <c r="I10" s="142">
        <v>20</v>
      </c>
      <c r="J10" s="142">
        <v>20</v>
      </c>
      <c r="K10" s="142">
        <v>20</v>
      </c>
      <c r="L10" s="53">
        <v>20</v>
      </c>
      <c r="M10" s="168" t="s">
        <v>116</v>
      </c>
    </row>
    <row r="11" spans="2:13" ht="93" customHeight="1" x14ac:dyDescent="0.2">
      <c r="B11" s="141" t="s">
        <v>185</v>
      </c>
      <c r="C11" s="980" t="s">
        <v>249</v>
      </c>
      <c r="D11" s="981"/>
      <c r="E11" s="142" t="s">
        <v>239</v>
      </c>
      <c r="F11" s="142">
        <v>80</v>
      </c>
      <c r="G11" s="142">
        <v>80</v>
      </c>
      <c r="H11" s="142">
        <v>82</v>
      </c>
      <c r="I11" s="142">
        <v>83</v>
      </c>
      <c r="J11" s="142">
        <v>85</v>
      </c>
      <c r="K11" s="142">
        <v>86</v>
      </c>
      <c r="L11" s="53">
        <v>87</v>
      </c>
      <c r="M11" s="168" t="s">
        <v>116</v>
      </c>
    </row>
    <row r="12" spans="2:13" ht="100.5" customHeight="1" x14ac:dyDescent="0.2">
      <c r="B12" s="141" t="s">
        <v>186</v>
      </c>
      <c r="C12" s="958" t="s">
        <v>250</v>
      </c>
      <c r="D12" s="951"/>
      <c r="E12" s="142" t="s">
        <v>239</v>
      </c>
      <c r="F12" s="142">
        <v>28.2</v>
      </c>
      <c r="G12" s="142">
        <v>28.2</v>
      </c>
      <c r="H12" s="142">
        <v>31.3</v>
      </c>
      <c r="I12" s="142">
        <v>38.5</v>
      </c>
      <c r="J12" s="142">
        <v>45</v>
      </c>
      <c r="K12" s="142">
        <v>52</v>
      </c>
      <c r="L12" s="53">
        <v>55</v>
      </c>
      <c r="M12" s="168" t="s">
        <v>116</v>
      </c>
    </row>
    <row r="13" spans="2:13" ht="117" customHeight="1" x14ac:dyDescent="0.2">
      <c r="B13" s="141" t="s">
        <v>205</v>
      </c>
      <c r="C13" s="958" t="s">
        <v>251</v>
      </c>
      <c r="D13" s="951"/>
      <c r="E13" s="142" t="s">
        <v>239</v>
      </c>
      <c r="F13" s="142">
        <v>12</v>
      </c>
      <c r="G13" s="142">
        <v>12</v>
      </c>
      <c r="H13" s="142">
        <v>17</v>
      </c>
      <c r="I13" s="142">
        <v>20</v>
      </c>
      <c r="J13" s="142">
        <v>23</v>
      </c>
      <c r="K13" s="142">
        <v>25</v>
      </c>
      <c r="L13" s="53">
        <v>26</v>
      </c>
      <c r="M13" s="168" t="s">
        <v>116</v>
      </c>
    </row>
    <row r="14" spans="2:13" ht="71.25" customHeight="1" x14ac:dyDescent="0.2">
      <c r="B14" s="141" t="s">
        <v>206</v>
      </c>
      <c r="C14" s="980" t="s">
        <v>252</v>
      </c>
      <c r="D14" s="981"/>
      <c r="E14" s="142" t="s">
        <v>239</v>
      </c>
      <c r="F14" s="142">
        <v>43.8</v>
      </c>
      <c r="G14" s="142">
        <v>43.8</v>
      </c>
      <c r="H14" s="142">
        <v>44</v>
      </c>
      <c r="I14" s="142">
        <v>44</v>
      </c>
      <c r="J14" s="142">
        <v>44</v>
      </c>
      <c r="K14" s="142">
        <v>44</v>
      </c>
      <c r="L14" s="53">
        <v>44</v>
      </c>
      <c r="M14" s="168" t="s">
        <v>116</v>
      </c>
    </row>
    <row r="15" spans="2:13" ht="120" customHeight="1" x14ac:dyDescent="0.2">
      <c r="B15" s="141" t="s">
        <v>208</v>
      </c>
      <c r="C15" s="980" t="s">
        <v>253</v>
      </c>
      <c r="D15" s="981"/>
      <c r="E15" s="142" t="s">
        <v>239</v>
      </c>
      <c r="F15" s="142">
        <v>50.9</v>
      </c>
      <c r="G15" s="142">
        <v>52.8</v>
      </c>
      <c r="H15" s="142">
        <v>53</v>
      </c>
      <c r="I15" s="142">
        <v>53.2</v>
      </c>
      <c r="J15" s="142">
        <v>53.4</v>
      </c>
      <c r="K15" s="142">
        <v>54</v>
      </c>
      <c r="L15" s="142">
        <v>54.05</v>
      </c>
      <c r="M15" s="148" t="s">
        <v>116</v>
      </c>
    </row>
    <row r="16" spans="2:13" ht="46.5" customHeight="1" thickBot="1" x14ac:dyDescent="0.25">
      <c r="B16" s="169" t="s">
        <v>209</v>
      </c>
      <c r="C16" s="952" t="s">
        <v>181</v>
      </c>
      <c r="D16" s="953"/>
      <c r="E16" s="158" t="s">
        <v>239</v>
      </c>
      <c r="F16" s="158">
        <v>70</v>
      </c>
      <c r="G16" s="158">
        <v>70</v>
      </c>
      <c r="H16" s="158">
        <v>72</v>
      </c>
      <c r="I16" s="158">
        <v>72</v>
      </c>
      <c r="J16" s="158">
        <v>72</v>
      </c>
      <c r="K16" s="158">
        <v>72.05</v>
      </c>
      <c r="L16" s="158">
        <v>72.099999999999994</v>
      </c>
      <c r="M16" s="170" t="s">
        <v>116</v>
      </c>
    </row>
    <row r="17" spans="2:19" ht="39.75" customHeight="1" x14ac:dyDescent="0.2">
      <c r="B17" s="954" t="s">
        <v>63</v>
      </c>
      <c r="C17" s="957" t="s">
        <v>583</v>
      </c>
      <c r="D17" s="138" t="s">
        <v>230</v>
      </c>
      <c r="E17" s="139" t="s">
        <v>240</v>
      </c>
      <c r="F17" s="139">
        <v>19</v>
      </c>
      <c r="G17" s="139">
        <v>19</v>
      </c>
      <c r="H17" s="139">
        <v>191</v>
      </c>
      <c r="I17" s="139">
        <v>196</v>
      </c>
      <c r="J17" s="139">
        <v>201</v>
      </c>
      <c r="K17" s="139">
        <v>202</v>
      </c>
      <c r="L17" s="139">
        <v>202</v>
      </c>
      <c r="M17" s="964" t="s">
        <v>212</v>
      </c>
    </row>
    <row r="18" spans="2:19" ht="39" customHeight="1" x14ac:dyDescent="0.2">
      <c r="B18" s="955"/>
      <c r="C18" s="958"/>
      <c r="D18" s="46" t="s">
        <v>231</v>
      </c>
      <c r="E18" s="142" t="s">
        <v>241</v>
      </c>
      <c r="F18" s="142">
        <v>13646</v>
      </c>
      <c r="G18" s="142">
        <v>13646</v>
      </c>
      <c r="H18" s="142">
        <v>91000</v>
      </c>
      <c r="I18" s="142">
        <v>92300</v>
      </c>
      <c r="J18" s="142">
        <v>93400</v>
      </c>
      <c r="K18" s="142">
        <v>93500</v>
      </c>
      <c r="L18" s="142">
        <v>93600</v>
      </c>
      <c r="M18" s="965"/>
    </row>
    <row r="19" spans="2:19" ht="137.25" customHeight="1" thickBot="1" x14ac:dyDescent="0.25">
      <c r="B19" s="955"/>
      <c r="C19" s="958"/>
      <c r="D19" s="46" t="s">
        <v>475</v>
      </c>
      <c r="E19" s="142" t="s">
        <v>241</v>
      </c>
      <c r="F19" s="142">
        <v>55</v>
      </c>
      <c r="G19" s="142">
        <v>55</v>
      </c>
      <c r="H19" s="142">
        <v>55</v>
      </c>
      <c r="I19" s="142">
        <v>55</v>
      </c>
      <c r="J19" s="142">
        <v>55</v>
      </c>
      <c r="K19" s="142">
        <v>55</v>
      </c>
      <c r="L19" s="142">
        <v>55</v>
      </c>
      <c r="M19" s="965"/>
    </row>
    <row r="20" spans="2:19" ht="39.75" hidden="1" customHeight="1" thickBot="1" x14ac:dyDescent="0.25">
      <c r="B20" s="955"/>
      <c r="C20" s="958"/>
      <c r="D20" s="46" t="s">
        <v>232</v>
      </c>
      <c r="E20" s="142" t="s">
        <v>240</v>
      </c>
      <c r="F20" s="142">
        <v>50</v>
      </c>
      <c r="G20" s="142">
        <v>50</v>
      </c>
      <c r="H20" s="142">
        <v>50</v>
      </c>
      <c r="I20" s="142">
        <v>50</v>
      </c>
      <c r="J20" s="142">
        <v>50</v>
      </c>
      <c r="K20" s="142"/>
      <c r="L20" s="142">
        <v>50</v>
      </c>
      <c r="M20" s="965"/>
    </row>
    <row r="21" spans="2:19" ht="54" hidden="1" customHeight="1" thickBot="1" x14ac:dyDescent="0.25">
      <c r="B21" s="956"/>
      <c r="C21" s="959"/>
      <c r="D21" s="171" t="s">
        <v>254</v>
      </c>
      <c r="E21" s="143" t="s">
        <v>240</v>
      </c>
      <c r="F21" s="143">
        <v>1</v>
      </c>
      <c r="G21" s="143">
        <v>1</v>
      </c>
      <c r="H21" s="143">
        <v>1</v>
      </c>
      <c r="I21" s="172" t="s">
        <v>199</v>
      </c>
      <c r="J21" s="172" t="s">
        <v>199</v>
      </c>
      <c r="K21" s="172"/>
      <c r="L21" s="172">
        <v>1</v>
      </c>
      <c r="M21" s="978"/>
    </row>
    <row r="22" spans="2:19" ht="74.25" customHeight="1" x14ac:dyDescent="0.2">
      <c r="B22" s="954" t="s">
        <v>64</v>
      </c>
      <c r="C22" s="957" t="s">
        <v>175</v>
      </c>
      <c r="D22" s="138" t="s">
        <v>657</v>
      </c>
      <c r="E22" s="139" t="s">
        <v>243</v>
      </c>
      <c r="F22" s="139">
        <v>1163874</v>
      </c>
      <c r="G22" s="139" t="s">
        <v>519</v>
      </c>
      <c r="H22" s="139">
        <v>924110</v>
      </c>
      <c r="I22" s="139">
        <v>924110</v>
      </c>
      <c r="J22" s="139">
        <v>924110</v>
      </c>
      <c r="K22" s="139" t="s">
        <v>520</v>
      </c>
      <c r="L22" s="139">
        <v>924110</v>
      </c>
      <c r="M22" s="964" t="s">
        <v>192</v>
      </c>
      <c r="N22" s="163"/>
    </row>
    <row r="23" spans="2:19" ht="136.5" customHeight="1" thickBot="1" x14ac:dyDescent="0.25">
      <c r="B23" s="970"/>
      <c r="C23" s="966"/>
      <c r="D23" s="46" t="s">
        <v>475</v>
      </c>
      <c r="E23" s="142" t="s">
        <v>241</v>
      </c>
      <c r="F23" s="142">
        <v>2839</v>
      </c>
      <c r="G23" s="142">
        <v>191</v>
      </c>
      <c r="H23" s="142">
        <v>2744</v>
      </c>
      <c r="I23" s="142">
        <v>2744</v>
      </c>
      <c r="J23" s="142">
        <v>2744</v>
      </c>
      <c r="K23" s="142">
        <v>221</v>
      </c>
      <c r="L23" s="142">
        <v>2744</v>
      </c>
      <c r="M23" s="979"/>
      <c r="N23" s="163"/>
    </row>
    <row r="24" spans="2:19" ht="44.25" hidden="1" customHeight="1" thickBot="1" x14ac:dyDescent="0.25">
      <c r="B24" s="955"/>
      <c r="C24" s="958"/>
      <c r="D24" s="46" t="s">
        <v>472</v>
      </c>
      <c r="E24" s="142" t="s">
        <v>393</v>
      </c>
      <c r="F24" s="142">
        <v>90</v>
      </c>
      <c r="G24" s="142"/>
      <c r="H24" s="142">
        <v>94</v>
      </c>
      <c r="I24" s="142">
        <v>94</v>
      </c>
      <c r="J24" s="142">
        <v>94</v>
      </c>
      <c r="K24" s="142"/>
      <c r="L24" s="142">
        <v>94</v>
      </c>
      <c r="M24" s="965"/>
      <c r="N24" s="960"/>
    </row>
    <row r="25" spans="2:19" ht="34.5" hidden="1" customHeight="1" x14ac:dyDescent="0.2">
      <c r="B25" s="955"/>
      <c r="C25" s="958"/>
      <c r="D25" s="46" t="s">
        <v>232</v>
      </c>
      <c r="E25" s="142" t="s">
        <v>240</v>
      </c>
      <c r="F25" s="142">
        <v>93</v>
      </c>
      <c r="G25" s="142">
        <v>93</v>
      </c>
      <c r="H25" s="142">
        <v>94</v>
      </c>
      <c r="I25" s="142">
        <v>93</v>
      </c>
      <c r="J25" s="142">
        <v>93</v>
      </c>
      <c r="K25" s="142"/>
      <c r="L25" s="142">
        <v>93</v>
      </c>
      <c r="M25" s="965"/>
      <c r="N25" s="960"/>
    </row>
    <row r="26" spans="2:19" ht="42.75" hidden="1" customHeight="1" x14ac:dyDescent="0.2">
      <c r="B26" s="955"/>
      <c r="C26" s="958"/>
      <c r="D26" s="46" t="s">
        <v>233</v>
      </c>
      <c r="E26" s="142" t="s">
        <v>241</v>
      </c>
      <c r="F26" s="142">
        <v>2720</v>
      </c>
      <c r="G26" s="142">
        <v>2720</v>
      </c>
      <c r="H26" s="142">
        <v>2720</v>
      </c>
      <c r="I26" s="142">
        <v>2720</v>
      </c>
      <c r="J26" s="142">
        <v>2720</v>
      </c>
      <c r="K26" s="142"/>
      <c r="L26" s="142">
        <v>2720</v>
      </c>
      <c r="M26" s="965"/>
      <c r="N26" s="960"/>
    </row>
    <row r="27" spans="2:19" ht="54" hidden="1" customHeight="1" x14ac:dyDescent="0.2">
      <c r="B27" s="955"/>
      <c r="C27" s="958"/>
      <c r="D27" s="46" t="s">
        <v>254</v>
      </c>
      <c r="E27" s="142" t="s">
        <v>240</v>
      </c>
      <c r="F27" s="142">
        <v>6</v>
      </c>
      <c r="G27" s="142">
        <v>6</v>
      </c>
      <c r="H27" s="142">
        <v>4</v>
      </c>
      <c r="I27" s="142">
        <v>2</v>
      </c>
      <c r="J27" s="142">
        <v>1</v>
      </c>
      <c r="K27" s="142"/>
      <c r="L27" s="142">
        <v>2</v>
      </c>
      <c r="M27" s="168" t="s">
        <v>192</v>
      </c>
      <c r="N27" s="960"/>
    </row>
    <row r="28" spans="2:19" ht="89.25" hidden="1" customHeight="1" thickBot="1" x14ac:dyDescent="0.25">
      <c r="B28" s="955"/>
      <c r="C28" s="958"/>
      <c r="D28" s="46" t="s">
        <v>527</v>
      </c>
      <c r="E28" s="142" t="s">
        <v>240</v>
      </c>
      <c r="F28" s="142">
        <v>2</v>
      </c>
      <c r="G28" s="142">
        <v>2</v>
      </c>
      <c r="H28" s="142">
        <v>6</v>
      </c>
      <c r="I28" s="142">
        <v>3</v>
      </c>
      <c r="J28" s="142" t="s">
        <v>199</v>
      </c>
      <c r="K28" s="142"/>
      <c r="L28" s="142">
        <v>1</v>
      </c>
      <c r="M28" s="168" t="s">
        <v>192</v>
      </c>
      <c r="N28" s="960"/>
    </row>
    <row r="29" spans="2:19" ht="46.5" hidden="1" customHeight="1" x14ac:dyDescent="0.2">
      <c r="B29" s="955"/>
      <c r="C29" s="958"/>
      <c r="D29" s="167" t="s">
        <v>190</v>
      </c>
      <c r="E29" s="167" t="s">
        <v>193</v>
      </c>
      <c r="F29" s="174" t="s">
        <v>199</v>
      </c>
      <c r="G29" s="174" t="s">
        <v>199</v>
      </c>
      <c r="H29" s="142">
        <v>1</v>
      </c>
      <c r="I29" s="174" t="s">
        <v>199</v>
      </c>
      <c r="J29" s="174" t="s">
        <v>199</v>
      </c>
      <c r="K29" s="174"/>
      <c r="L29" s="174" t="s">
        <v>199</v>
      </c>
      <c r="M29" s="168" t="s">
        <v>200</v>
      </c>
    </row>
    <row r="30" spans="2:19" ht="46.5" hidden="1" customHeight="1" x14ac:dyDescent="0.2">
      <c r="B30" s="955"/>
      <c r="C30" s="958"/>
      <c r="D30" s="167" t="s">
        <v>190</v>
      </c>
      <c r="E30" s="167" t="s">
        <v>193</v>
      </c>
      <c r="F30" s="174" t="s">
        <v>199</v>
      </c>
      <c r="G30" s="174" t="s">
        <v>199</v>
      </c>
      <c r="H30" s="142">
        <v>1</v>
      </c>
      <c r="I30" s="174" t="s">
        <v>199</v>
      </c>
      <c r="J30" s="174" t="s">
        <v>199</v>
      </c>
      <c r="K30" s="174"/>
      <c r="L30" s="174" t="s">
        <v>199</v>
      </c>
      <c r="M30" s="168" t="s">
        <v>200</v>
      </c>
    </row>
    <row r="31" spans="2:19" ht="46.5" hidden="1" customHeight="1" x14ac:dyDescent="0.2">
      <c r="B31" s="955"/>
      <c r="C31" s="958"/>
      <c r="D31" s="167" t="s">
        <v>190</v>
      </c>
      <c r="E31" s="167" t="s">
        <v>193</v>
      </c>
      <c r="F31" s="174" t="s">
        <v>199</v>
      </c>
      <c r="G31" s="174" t="s">
        <v>199</v>
      </c>
      <c r="H31" s="142">
        <v>1</v>
      </c>
      <c r="I31" s="174" t="s">
        <v>199</v>
      </c>
      <c r="J31" s="174" t="s">
        <v>199</v>
      </c>
      <c r="K31" s="174"/>
      <c r="L31" s="174" t="s">
        <v>199</v>
      </c>
      <c r="M31" s="168" t="s">
        <v>200</v>
      </c>
      <c r="P31">
        <v>2020</v>
      </c>
      <c r="Q31">
        <v>2021</v>
      </c>
      <c r="R31">
        <v>2022</v>
      </c>
      <c r="S31">
        <v>2023</v>
      </c>
    </row>
    <row r="32" spans="2:19" ht="46.5" hidden="1" customHeight="1" x14ac:dyDescent="0.2">
      <c r="B32" s="955"/>
      <c r="C32" s="958"/>
      <c r="D32" s="167" t="s">
        <v>190</v>
      </c>
      <c r="E32" s="167" t="s">
        <v>193</v>
      </c>
      <c r="F32" s="174" t="s">
        <v>199</v>
      </c>
      <c r="G32" s="174" t="s">
        <v>199</v>
      </c>
      <c r="H32" s="174" t="s">
        <v>199</v>
      </c>
      <c r="I32" s="142">
        <v>1</v>
      </c>
      <c r="J32" s="174" t="s">
        <v>199</v>
      </c>
      <c r="K32" s="174"/>
      <c r="L32" s="174" t="s">
        <v>199</v>
      </c>
      <c r="M32" s="168" t="s">
        <v>200</v>
      </c>
    </row>
    <row r="33" spans="2:14" ht="46.5" hidden="1" customHeight="1" x14ac:dyDescent="0.2">
      <c r="B33" s="955"/>
      <c r="C33" s="958"/>
      <c r="D33" s="167" t="s">
        <v>190</v>
      </c>
      <c r="E33" s="167" t="s">
        <v>193</v>
      </c>
      <c r="F33" s="174" t="s">
        <v>199</v>
      </c>
      <c r="G33" s="174" t="s">
        <v>199</v>
      </c>
      <c r="H33" s="174" t="s">
        <v>199</v>
      </c>
      <c r="I33" s="142">
        <v>1</v>
      </c>
      <c r="J33" s="174" t="s">
        <v>199</v>
      </c>
      <c r="K33" s="174"/>
      <c r="L33" s="174" t="s">
        <v>199</v>
      </c>
      <c r="M33" s="168" t="s">
        <v>200</v>
      </c>
    </row>
    <row r="34" spans="2:14" ht="46.5" hidden="1" customHeight="1" x14ac:dyDescent="0.2">
      <c r="B34" s="955"/>
      <c r="C34" s="958"/>
      <c r="D34" s="167" t="s">
        <v>190</v>
      </c>
      <c r="E34" s="167" t="s">
        <v>193</v>
      </c>
      <c r="F34" s="174" t="s">
        <v>199</v>
      </c>
      <c r="G34" s="174" t="s">
        <v>199</v>
      </c>
      <c r="H34" s="174" t="s">
        <v>199</v>
      </c>
      <c r="I34" s="174" t="s">
        <v>199</v>
      </c>
      <c r="J34" s="174">
        <v>1</v>
      </c>
      <c r="K34" s="174"/>
      <c r="L34" s="174" t="s">
        <v>199</v>
      </c>
      <c r="M34" s="168" t="s">
        <v>200</v>
      </c>
    </row>
    <row r="35" spans="2:14" ht="46.5" hidden="1" customHeight="1" x14ac:dyDescent="0.2">
      <c r="B35" s="955"/>
      <c r="C35" s="958"/>
      <c r="D35" s="167" t="s">
        <v>190</v>
      </c>
      <c r="E35" s="167" t="s">
        <v>193</v>
      </c>
      <c r="F35" s="174" t="s">
        <v>199</v>
      </c>
      <c r="G35" s="174" t="s">
        <v>199</v>
      </c>
      <c r="H35" s="142">
        <v>1</v>
      </c>
      <c r="I35" s="174" t="s">
        <v>199</v>
      </c>
      <c r="J35" s="174" t="s">
        <v>199</v>
      </c>
      <c r="K35" s="174"/>
      <c r="L35" s="174" t="s">
        <v>199</v>
      </c>
      <c r="M35" s="168" t="s">
        <v>204</v>
      </c>
    </row>
    <row r="36" spans="2:14" ht="46.5" hidden="1" customHeight="1" x14ac:dyDescent="0.2">
      <c r="B36" s="955"/>
      <c r="C36" s="958"/>
      <c r="D36" s="167" t="s">
        <v>190</v>
      </c>
      <c r="E36" s="167" t="s">
        <v>193</v>
      </c>
      <c r="F36" s="174" t="s">
        <v>199</v>
      </c>
      <c r="G36" s="174" t="s">
        <v>199</v>
      </c>
      <c r="H36" s="142">
        <v>1</v>
      </c>
      <c r="I36" s="174" t="s">
        <v>199</v>
      </c>
      <c r="J36" s="174" t="s">
        <v>199</v>
      </c>
      <c r="K36" s="174"/>
      <c r="L36" s="174" t="s">
        <v>199</v>
      </c>
      <c r="M36" s="168" t="s">
        <v>204</v>
      </c>
    </row>
    <row r="37" spans="2:14" ht="52.5" hidden="1" customHeight="1" x14ac:dyDescent="0.2">
      <c r="B37" s="955"/>
      <c r="C37" s="958"/>
      <c r="D37" s="167" t="s">
        <v>190</v>
      </c>
      <c r="E37" s="167" t="s">
        <v>193</v>
      </c>
      <c r="F37" s="174" t="s">
        <v>199</v>
      </c>
      <c r="G37" s="174" t="s">
        <v>199</v>
      </c>
      <c r="H37" s="142">
        <v>1</v>
      </c>
      <c r="I37" s="174" t="s">
        <v>199</v>
      </c>
      <c r="J37" s="174" t="s">
        <v>199</v>
      </c>
      <c r="K37" s="174"/>
      <c r="L37" s="174" t="s">
        <v>199</v>
      </c>
      <c r="M37" s="168" t="s">
        <v>201</v>
      </c>
    </row>
    <row r="38" spans="2:14" ht="46.5" hidden="1" customHeight="1" x14ac:dyDescent="0.2">
      <c r="B38" s="955"/>
      <c r="C38" s="958"/>
      <c r="D38" s="167" t="s">
        <v>190</v>
      </c>
      <c r="E38" s="167" t="s">
        <v>193</v>
      </c>
      <c r="F38" s="174" t="s">
        <v>199</v>
      </c>
      <c r="G38" s="174" t="s">
        <v>199</v>
      </c>
      <c r="H38" s="174" t="s">
        <v>199</v>
      </c>
      <c r="I38" s="174">
        <v>1</v>
      </c>
      <c r="J38" s="174" t="s">
        <v>199</v>
      </c>
      <c r="K38" s="174"/>
      <c r="L38" s="174" t="s">
        <v>199</v>
      </c>
      <c r="M38" s="168" t="s">
        <v>201</v>
      </c>
    </row>
    <row r="39" spans="2:14" ht="46.5" hidden="1" customHeight="1" x14ac:dyDescent="0.2">
      <c r="B39" s="955"/>
      <c r="C39" s="958"/>
      <c r="D39" s="167" t="s">
        <v>190</v>
      </c>
      <c r="E39" s="167" t="s">
        <v>193</v>
      </c>
      <c r="F39" s="174" t="s">
        <v>199</v>
      </c>
      <c r="G39" s="174" t="s">
        <v>199</v>
      </c>
      <c r="H39" s="142">
        <v>1</v>
      </c>
      <c r="I39" s="174" t="s">
        <v>199</v>
      </c>
      <c r="J39" s="174" t="s">
        <v>199</v>
      </c>
      <c r="K39" s="174"/>
      <c r="L39" s="174" t="s">
        <v>199</v>
      </c>
      <c r="M39" s="168" t="s">
        <v>202</v>
      </c>
    </row>
    <row r="40" spans="2:14" ht="66.75" hidden="1" customHeight="1" x14ac:dyDescent="0.2">
      <c r="B40" s="955"/>
      <c r="C40" s="958"/>
      <c r="D40" s="167" t="s">
        <v>190</v>
      </c>
      <c r="E40" s="167" t="s">
        <v>193</v>
      </c>
      <c r="F40" s="174" t="s">
        <v>199</v>
      </c>
      <c r="G40" s="174" t="s">
        <v>199</v>
      </c>
      <c r="H40" s="142">
        <v>1</v>
      </c>
      <c r="I40" s="174" t="s">
        <v>199</v>
      </c>
      <c r="J40" s="174" t="s">
        <v>199</v>
      </c>
      <c r="K40" s="174"/>
      <c r="L40" s="174" t="s">
        <v>199</v>
      </c>
      <c r="M40" s="168" t="s">
        <v>203</v>
      </c>
    </row>
    <row r="41" spans="2:14" ht="62.25" hidden="1" customHeight="1" x14ac:dyDescent="0.2">
      <c r="B41" s="955"/>
      <c r="C41" s="958"/>
      <c r="D41" s="167" t="s">
        <v>190</v>
      </c>
      <c r="E41" s="167" t="s">
        <v>193</v>
      </c>
      <c r="F41" s="174" t="s">
        <v>199</v>
      </c>
      <c r="G41" s="174" t="s">
        <v>199</v>
      </c>
      <c r="H41" s="142" t="s">
        <v>199</v>
      </c>
      <c r="I41" s="142">
        <v>1</v>
      </c>
      <c r="J41" s="174" t="s">
        <v>199</v>
      </c>
      <c r="K41" s="174"/>
      <c r="L41" s="174" t="s">
        <v>199</v>
      </c>
      <c r="M41" s="168" t="s">
        <v>204</v>
      </c>
    </row>
    <row r="42" spans="2:14" ht="49.5" hidden="1" customHeight="1" x14ac:dyDescent="0.2">
      <c r="B42" s="955"/>
      <c r="C42" s="958"/>
      <c r="D42" s="167" t="s">
        <v>190</v>
      </c>
      <c r="E42" s="167" t="s">
        <v>193</v>
      </c>
      <c r="F42" s="174" t="s">
        <v>199</v>
      </c>
      <c r="G42" s="174" t="s">
        <v>199</v>
      </c>
      <c r="H42" s="142" t="s">
        <v>199</v>
      </c>
      <c r="I42" s="142">
        <v>1</v>
      </c>
      <c r="J42" s="174" t="s">
        <v>199</v>
      </c>
      <c r="K42" s="174"/>
      <c r="L42" s="174" t="s">
        <v>199</v>
      </c>
      <c r="M42" s="168" t="s">
        <v>201</v>
      </c>
    </row>
    <row r="43" spans="2:14" ht="70.5" hidden="1" customHeight="1" x14ac:dyDescent="0.2">
      <c r="B43" s="955"/>
      <c r="C43" s="958"/>
      <c r="D43" s="167" t="s">
        <v>190</v>
      </c>
      <c r="E43" s="167" t="s">
        <v>193</v>
      </c>
      <c r="F43" s="174" t="s">
        <v>199</v>
      </c>
      <c r="G43" s="174" t="s">
        <v>199</v>
      </c>
      <c r="H43" s="142" t="s">
        <v>199</v>
      </c>
      <c r="I43" s="142">
        <v>1</v>
      </c>
      <c r="J43" s="174" t="s">
        <v>199</v>
      </c>
      <c r="K43" s="174"/>
      <c r="L43" s="174" t="s">
        <v>199</v>
      </c>
      <c r="M43" s="168" t="s">
        <v>203</v>
      </c>
    </row>
    <row r="44" spans="2:14" ht="46.5" hidden="1" customHeight="1" x14ac:dyDescent="0.2">
      <c r="B44" s="955"/>
      <c r="C44" s="958"/>
      <c r="D44" s="167" t="s">
        <v>190</v>
      </c>
      <c r="E44" s="167" t="s">
        <v>193</v>
      </c>
      <c r="F44" s="142" t="s">
        <v>199</v>
      </c>
      <c r="G44" s="142" t="s">
        <v>199</v>
      </c>
      <c r="H44" s="142">
        <v>1</v>
      </c>
      <c r="I44" s="142" t="s">
        <v>199</v>
      </c>
      <c r="J44" s="142" t="s">
        <v>199</v>
      </c>
      <c r="K44" s="142"/>
      <c r="L44" s="142">
        <v>1</v>
      </c>
      <c r="M44" s="168" t="s">
        <v>207</v>
      </c>
    </row>
    <row r="45" spans="2:14" ht="46.5" hidden="1" customHeight="1" thickBot="1" x14ac:dyDescent="0.25">
      <c r="B45" s="956"/>
      <c r="C45" s="959"/>
      <c r="D45" s="175" t="s">
        <v>190</v>
      </c>
      <c r="E45" s="175" t="s">
        <v>193</v>
      </c>
      <c r="F45" s="143" t="s">
        <v>199</v>
      </c>
      <c r="G45" s="143" t="s">
        <v>199</v>
      </c>
      <c r="H45" s="143">
        <v>1</v>
      </c>
      <c r="I45" s="143" t="s">
        <v>199</v>
      </c>
      <c r="J45" s="143" t="s">
        <v>199</v>
      </c>
      <c r="K45" s="143"/>
      <c r="L45" s="143">
        <v>1</v>
      </c>
      <c r="M45" s="173" t="s">
        <v>207</v>
      </c>
    </row>
    <row r="46" spans="2:14" ht="67.5" customHeight="1" x14ac:dyDescent="0.2">
      <c r="B46" s="954" t="s">
        <v>172</v>
      </c>
      <c r="C46" s="961" t="s">
        <v>176</v>
      </c>
      <c r="D46" s="138" t="s">
        <v>657</v>
      </c>
      <c r="E46" s="139" t="s">
        <v>243</v>
      </c>
      <c r="F46" s="139">
        <v>62400</v>
      </c>
      <c r="G46" s="139" t="s">
        <v>651</v>
      </c>
      <c r="H46" s="139">
        <v>62400</v>
      </c>
      <c r="I46" s="139">
        <v>62400</v>
      </c>
      <c r="J46" s="139">
        <v>62400</v>
      </c>
      <c r="K46" s="139" t="s">
        <v>651</v>
      </c>
      <c r="L46" s="139">
        <v>62400</v>
      </c>
      <c r="M46" s="964" t="s">
        <v>192</v>
      </c>
      <c r="N46" s="163"/>
    </row>
    <row r="47" spans="2:14" ht="118.5" hidden="1" customHeight="1" x14ac:dyDescent="0.2">
      <c r="B47" s="955"/>
      <c r="C47" s="962"/>
      <c r="D47" s="46" t="s">
        <v>474</v>
      </c>
      <c r="E47" s="142" t="s">
        <v>240</v>
      </c>
      <c r="F47" s="174">
        <v>0</v>
      </c>
      <c r="G47" s="142">
        <v>0</v>
      </c>
      <c r="H47" s="142">
        <v>8</v>
      </c>
      <c r="I47" s="142">
        <v>8</v>
      </c>
      <c r="J47" s="142">
        <v>8</v>
      </c>
      <c r="K47" s="142"/>
      <c r="L47" s="142">
        <v>8</v>
      </c>
      <c r="M47" s="965"/>
    </row>
    <row r="48" spans="2:14" ht="139.5" customHeight="1" thickBot="1" x14ac:dyDescent="0.25">
      <c r="B48" s="955"/>
      <c r="C48" s="962"/>
      <c r="D48" s="46" t="s">
        <v>475</v>
      </c>
      <c r="E48" s="142" t="s">
        <v>241</v>
      </c>
      <c r="F48" s="142">
        <v>4184</v>
      </c>
      <c r="G48" s="142">
        <v>4184</v>
      </c>
      <c r="H48" s="142">
        <v>4858</v>
      </c>
      <c r="I48" s="142">
        <v>4858</v>
      </c>
      <c r="J48" s="142">
        <v>4858</v>
      </c>
      <c r="K48" s="142">
        <v>4640</v>
      </c>
      <c r="L48" s="142">
        <v>4858</v>
      </c>
      <c r="M48" s="965"/>
    </row>
    <row r="49" spans="2:14" ht="46.5" hidden="1" customHeight="1" thickBot="1" x14ac:dyDescent="0.25">
      <c r="B49" s="955"/>
      <c r="C49" s="962"/>
      <c r="D49" s="46" t="s">
        <v>472</v>
      </c>
      <c r="E49" s="142" t="s">
        <v>393</v>
      </c>
      <c r="F49" s="142">
        <v>1</v>
      </c>
      <c r="G49" s="142"/>
      <c r="H49" s="142">
        <v>1</v>
      </c>
      <c r="I49" s="142">
        <v>1</v>
      </c>
      <c r="J49" s="142">
        <v>1</v>
      </c>
      <c r="K49" s="142"/>
      <c r="L49" s="142">
        <v>1</v>
      </c>
      <c r="M49" s="965"/>
      <c r="N49" s="176"/>
    </row>
    <row r="50" spans="2:14" ht="55.5" hidden="1" customHeight="1" x14ac:dyDescent="0.2">
      <c r="B50" s="955"/>
      <c r="C50" s="962"/>
      <c r="D50" s="46" t="s">
        <v>254</v>
      </c>
      <c r="E50" s="142" t="s">
        <v>240</v>
      </c>
      <c r="F50" s="142">
        <v>5</v>
      </c>
      <c r="G50" s="142">
        <v>5</v>
      </c>
      <c r="H50" s="142">
        <v>8</v>
      </c>
      <c r="I50" s="142">
        <v>1</v>
      </c>
      <c r="J50" s="142">
        <v>1</v>
      </c>
      <c r="K50" s="142"/>
      <c r="L50" s="142">
        <v>2</v>
      </c>
      <c r="M50" s="168" t="s">
        <v>192</v>
      </c>
      <c r="N50" s="163"/>
    </row>
    <row r="51" spans="2:14" ht="91.5" hidden="1" customHeight="1" x14ac:dyDescent="0.2">
      <c r="B51" s="955"/>
      <c r="C51" s="962"/>
      <c r="D51" s="46" t="s">
        <v>527</v>
      </c>
      <c r="E51" s="142" t="s">
        <v>240</v>
      </c>
      <c r="F51" s="142">
        <v>1</v>
      </c>
      <c r="G51" s="142">
        <v>1</v>
      </c>
      <c r="H51" s="142">
        <v>3</v>
      </c>
      <c r="I51" s="174" t="s">
        <v>199</v>
      </c>
      <c r="J51" s="142">
        <v>2</v>
      </c>
      <c r="K51" s="142"/>
      <c r="L51" s="142">
        <v>2</v>
      </c>
      <c r="M51" s="168" t="s">
        <v>192</v>
      </c>
    </row>
    <row r="52" spans="2:14" ht="63" hidden="1" customHeight="1" thickBot="1" x14ac:dyDescent="0.25">
      <c r="B52" s="956"/>
      <c r="C52" s="963"/>
      <c r="D52" s="171" t="s">
        <v>220</v>
      </c>
      <c r="E52" s="143" t="s">
        <v>240</v>
      </c>
      <c r="F52" s="143" t="s">
        <v>199</v>
      </c>
      <c r="G52" s="143" t="s">
        <v>199</v>
      </c>
      <c r="H52" s="143">
        <v>2</v>
      </c>
      <c r="I52" s="172" t="s">
        <v>199</v>
      </c>
      <c r="J52" s="172" t="s">
        <v>199</v>
      </c>
      <c r="K52" s="172"/>
      <c r="L52" s="172">
        <v>2</v>
      </c>
      <c r="M52" s="173" t="s">
        <v>245</v>
      </c>
    </row>
    <row r="53" spans="2:14" ht="24" customHeight="1" thickBot="1" x14ac:dyDescent="0.25">
      <c r="B53" s="144" t="s">
        <v>189</v>
      </c>
      <c r="C53" s="971" t="s">
        <v>660</v>
      </c>
      <c r="D53" s="972"/>
      <c r="E53" s="972"/>
      <c r="F53" s="972"/>
      <c r="G53" s="972"/>
      <c r="H53" s="972"/>
      <c r="I53" s="972"/>
      <c r="J53" s="972"/>
      <c r="K53" s="972"/>
      <c r="L53" s="972"/>
      <c r="M53" s="973"/>
    </row>
    <row r="54" spans="2:14" ht="66" customHeight="1" thickBot="1" x14ac:dyDescent="0.25">
      <c r="B54" s="145" t="s">
        <v>194</v>
      </c>
      <c r="C54" s="974" t="s">
        <v>182</v>
      </c>
      <c r="D54" s="975"/>
      <c r="E54" s="156" t="s">
        <v>239</v>
      </c>
      <c r="F54" s="146">
        <v>52.1</v>
      </c>
      <c r="G54" s="146">
        <v>60</v>
      </c>
      <c r="H54" s="146">
        <v>64.7</v>
      </c>
      <c r="I54" s="146">
        <v>64.73</v>
      </c>
      <c r="J54" s="146">
        <v>64.760000000000005</v>
      </c>
      <c r="K54" s="146">
        <v>64.8</v>
      </c>
      <c r="L54" s="146">
        <v>64.86</v>
      </c>
      <c r="M54" s="147" t="s">
        <v>116</v>
      </c>
    </row>
    <row r="55" spans="2:14" ht="123.75" hidden="1" customHeight="1" x14ac:dyDescent="0.2">
      <c r="B55" s="141" t="s">
        <v>195</v>
      </c>
      <c r="C55" s="976" t="s">
        <v>214</v>
      </c>
      <c r="D55" s="977"/>
      <c r="E55" s="157" t="s">
        <v>239</v>
      </c>
      <c r="F55" s="142">
        <v>100</v>
      </c>
      <c r="G55" s="142">
        <v>100</v>
      </c>
      <c r="H55" s="142">
        <v>100</v>
      </c>
      <c r="I55" s="142">
        <v>100</v>
      </c>
      <c r="J55" s="142">
        <v>100</v>
      </c>
      <c r="K55" s="142"/>
      <c r="L55" s="142">
        <v>100</v>
      </c>
      <c r="M55" s="148" t="s">
        <v>116</v>
      </c>
    </row>
    <row r="56" spans="2:14" ht="64.5" hidden="1" customHeight="1" x14ac:dyDescent="0.2">
      <c r="B56" s="141" t="s">
        <v>196</v>
      </c>
      <c r="C56" s="976" t="s">
        <v>213</v>
      </c>
      <c r="D56" s="977"/>
      <c r="E56" s="157" t="s">
        <v>239</v>
      </c>
      <c r="F56" s="142">
        <v>100</v>
      </c>
      <c r="G56" s="142">
        <v>100</v>
      </c>
      <c r="H56" s="142">
        <v>100</v>
      </c>
      <c r="I56" s="142">
        <v>100</v>
      </c>
      <c r="J56" s="142">
        <v>100</v>
      </c>
      <c r="K56" s="142"/>
      <c r="L56" s="142">
        <v>100</v>
      </c>
      <c r="M56" s="148" t="s">
        <v>116</v>
      </c>
    </row>
    <row r="57" spans="2:14" ht="60.75" hidden="1" customHeight="1" thickBot="1" x14ac:dyDescent="0.25">
      <c r="B57" s="141" t="s">
        <v>197</v>
      </c>
      <c r="C57" s="976" t="s">
        <v>658</v>
      </c>
      <c r="D57" s="977"/>
      <c r="E57" s="157" t="s">
        <v>239</v>
      </c>
      <c r="F57" s="142">
        <v>100</v>
      </c>
      <c r="G57" s="142">
        <v>100</v>
      </c>
      <c r="H57" s="142">
        <v>100</v>
      </c>
      <c r="I57" s="142">
        <v>100</v>
      </c>
      <c r="J57" s="142">
        <v>100</v>
      </c>
      <c r="K57" s="142"/>
      <c r="L57" s="142">
        <v>100</v>
      </c>
      <c r="M57" s="148" t="s">
        <v>116</v>
      </c>
    </row>
    <row r="58" spans="2:14" ht="60.75" hidden="1" customHeight="1" thickBot="1" x14ac:dyDescent="0.3">
      <c r="B58" s="141" t="s">
        <v>198</v>
      </c>
      <c r="C58" s="968" t="s">
        <v>215</v>
      </c>
      <c r="D58" s="969"/>
      <c r="E58" s="157" t="s">
        <v>239</v>
      </c>
      <c r="F58" s="142">
        <v>100</v>
      </c>
      <c r="G58" s="142">
        <v>100</v>
      </c>
      <c r="H58" s="142">
        <v>100</v>
      </c>
      <c r="I58" s="142">
        <v>100</v>
      </c>
      <c r="J58" s="142">
        <v>100</v>
      </c>
      <c r="K58" s="142"/>
      <c r="L58" s="142">
        <v>100</v>
      </c>
      <c r="M58" s="148" t="s">
        <v>116</v>
      </c>
      <c r="N58" s="177"/>
    </row>
    <row r="59" spans="2:14" ht="65.25" hidden="1" customHeight="1" x14ac:dyDescent="0.2">
      <c r="B59" s="141" t="s">
        <v>223</v>
      </c>
      <c r="C59" s="966" t="s">
        <v>225</v>
      </c>
      <c r="D59" s="967"/>
      <c r="E59" s="142" t="s">
        <v>239</v>
      </c>
      <c r="F59" s="142">
        <v>100</v>
      </c>
      <c r="G59" s="142">
        <v>100</v>
      </c>
      <c r="H59" s="142">
        <v>100</v>
      </c>
      <c r="I59" s="142">
        <v>100</v>
      </c>
      <c r="J59" s="142">
        <v>100</v>
      </c>
      <c r="K59" s="142"/>
      <c r="L59" s="142">
        <v>100</v>
      </c>
      <c r="M59" s="148" t="s">
        <v>116</v>
      </c>
    </row>
    <row r="60" spans="2:14" ht="82.5" hidden="1" customHeight="1" thickBot="1" x14ac:dyDescent="0.25">
      <c r="B60" s="169" t="s">
        <v>224</v>
      </c>
      <c r="C60" s="952" t="s">
        <v>226</v>
      </c>
      <c r="D60" s="953"/>
      <c r="E60" s="158" t="s">
        <v>239</v>
      </c>
      <c r="F60" s="158">
        <v>100</v>
      </c>
      <c r="G60" s="158">
        <v>100</v>
      </c>
      <c r="H60" s="158">
        <v>100</v>
      </c>
      <c r="I60" s="158">
        <v>100</v>
      </c>
      <c r="J60" s="158">
        <v>100</v>
      </c>
      <c r="K60" s="158"/>
      <c r="L60" s="158">
        <v>100</v>
      </c>
      <c r="M60" s="170" t="s">
        <v>116</v>
      </c>
    </row>
    <row r="61" spans="2:14" ht="90" customHeight="1" thickBot="1" x14ac:dyDescent="0.25">
      <c r="B61" s="954" t="s">
        <v>173</v>
      </c>
      <c r="C61" s="957" t="s">
        <v>188</v>
      </c>
      <c r="D61" s="138" t="s">
        <v>221</v>
      </c>
      <c r="E61" s="139" t="s">
        <v>241</v>
      </c>
      <c r="F61" s="139" t="s">
        <v>512</v>
      </c>
      <c r="G61" s="139" t="s">
        <v>513</v>
      </c>
      <c r="H61" s="139" t="s">
        <v>514</v>
      </c>
      <c r="I61" s="139" t="s">
        <v>515</v>
      </c>
      <c r="J61" s="139" t="s">
        <v>516</v>
      </c>
      <c r="K61" s="139" t="s">
        <v>516</v>
      </c>
      <c r="L61" s="139" t="s">
        <v>517</v>
      </c>
      <c r="M61" s="140" t="s">
        <v>192</v>
      </c>
    </row>
    <row r="62" spans="2:14" ht="135" customHeight="1" x14ac:dyDescent="0.2">
      <c r="B62" s="955"/>
      <c r="C62" s="958"/>
      <c r="D62" s="46" t="s">
        <v>256</v>
      </c>
      <c r="E62" s="142" t="s">
        <v>241</v>
      </c>
      <c r="F62" s="142">
        <v>15851</v>
      </c>
      <c r="G62" s="142">
        <v>15851</v>
      </c>
      <c r="H62" s="142">
        <v>15123</v>
      </c>
      <c r="I62" s="142">
        <v>15174</v>
      </c>
      <c r="J62" s="142">
        <v>15224</v>
      </c>
      <c r="K62" s="142">
        <v>15224</v>
      </c>
      <c r="L62" s="142">
        <v>15224</v>
      </c>
      <c r="M62" s="140" t="s">
        <v>192</v>
      </c>
    </row>
    <row r="63" spans="2:14" ht="54.75" hidden="1" customHeight="1" x14ac:dyDescent="0.2">
      <c r="B63" s="955"/>
      <c r="C63" s="958"/>
      <c r="D63" s="46" t="s">
        <v>257</v>
      </c>
      <c r="E63" s="142" t="s">
        <v>242</v>
      </c>
      <c r="F63" s="142" t="s">
        <v>518</v>
      </c>
      <c r="G63" s="142" t="s">
        <v>518</v>
      </c>
      <c r="H63" s="142" t="s">
        <v>608</v>
      </c>
      <c r="I63" s="142" t="s">
        <v>518</v>
      </c>
      <c r="J63" s="142" t="s">
        <v>518</v>
      </c>
      <c r="K63" s="142"/>
      <c r="L63" s="142" t="s">
        <v>518</v>
      </c>
      <c r="M63" s="140" t="s">
        <v>246</v>
      </c>
    </row>
    <row r="64" spans="2:14" ht="56.25" hidden="1" customHeight="1" x14ac:dyDescent="0.2">
      <c r="B64" s="955"/>
      <c r="C64" s="958"/>
      <c r="D64" s="46" t="s">
        <v>254</v>
      </c>
      <c r="E64" s="142" t="s">
        <v>240</v>
      </c>
      <c r="F64" s="142">
        <v>1</v>
      </c>
      <c r="G64" s="142">
        <v>1</v>
      </c>
      <c r="H64" s="142">
        <v>1</v>
      </c>
      <c r="I64" s="142">
        <v>1</v>
      </c>
      <c r="J64" s="142">
        <v>1</v>
      </c>
      <c r="K64" s="142"/>
      <c r="L64" s="142">
        <v>1</v>
      </c>
      <c r="M64" s="168" t="s">
        <v>192</v>
      </c>
    </row>
    <row r="65" spans="2:13" ht="0.75" customHeight="1" thickBot="1" x14ac:dyDescent="0.25">
      <c r="B65" s="956"/>
      <c r="C65" s="959"/>
      <c r="D65" s="171" t="s">
        <v>527</v>
      </c>
      <c r="E65" s="143" t="s">
        <v>240</v>
      </c>
      <c r="F65" s="143" t="s">
        <v>199</v>
      </c>
      <c r="G65" s="143" t="s">
        <v>199</v>
      </c>
      <c r="H65" s="143">
        <v>1</v>
      </c>
      <c r="I65" s="143" t="s">
        <v>199</v>
      </c>
      <c r="J65" s="143" t="s">
        <v>199</v>
      </c>
      <c r="K65" s="143"/>
      <c r="L65" s="143">
        <v>1</v>
      </c>
      <c r="M65" s="173" t="s">
        <v>192</v>
      </c>
    </row>
    <row r="66" spans="2:13" ht="117.75" customHeight="1" x14ac:dyDescent="0.2">
      <c r="B66" s="954" t="s">
        <v>174</v>
      </c>
      <c r="C66" s="957" t="s">
        <v>597</v>
      </c>
      <c r="D66" s="138" t="s">
        <v>652</v>
      </c>
      <c r="E66" s="139" t="s">
        <v>241</v>
      </c>
      <c r="F66" s="139">
        <f t="shared" ref="F66:L66" si="0">90+F67</f>
        <v>157</v>
      </c>
      <c r="G66" s="139">
        <f t="shared" si="0"/>
        <v>148</v>
      </c>
      <c r="H66" s="139">
        <v>145</v>
      </c>
      <c r="I66" s="139">
        <f t="shared" si="0"/>
        <v>157</v>
      </c>
      <c r="J66" s="139">
        <f t="shared" si="0"/>
        <v>157</v>
      </c>
      <c r="K66" s="139">
        <f t="shared" si="0"/>
        <v>157</v>
      </c>
      <c r="L66" s="139">
        <f t="shared" si="0"/>
        <v>157</v>
      </c>
      <c r="M66" s="140" t="s">
        <v>246</v>
      </c>
    </row>
    <row r="67" spans="2:13" ht="151.5" hidden="1" customHeight="1" x14ac:dyDescent="0.2">
      <c r="B67" s="955"/>
      <c r="C67" s="958"/>
      <c r="D67" s="46" t="s">
        <v>219</v>
      </c>
      <c r="E67" s="142" t="s">
        <v>241</v>
      </c>
      <c r="F67" s="142">
        <v>67</v>
      </c>
      <c r="G67" s="142">
        <v>58</v>
      </c>
      <c r="H67" s="142">
        <v>67</v>
      </c>
      <c r="I67" s="142">
        <v>67</v>
      </c>
      <c r="J67" s="142">
        <v>67</v>
      </c>
      <c r="K67" s="142">
        <v>67</v>
      </c>
      <c r="L67" s="142">
        <v>67</v>
      </c>
      <c r="M67" s="168" t="s">
        <v>246</v>
      </c>
    </row>
    <row r="68" spans="2:13" ht="105.75" customHeight="1" x14ac:dyDescent="0.2">
      <c r="B68" s="955"/>
      <c r="C68" s="958"/>
      <c r="D68" s="46" t="s">
        <v>653</v>
      </c>
      <c r="E68" s="142" t="s">
        <v>240</v>
      </c>
      <c r="F68" s="142">
        <f>6+F69</f>
        <v>10</v>
      </c>
      <c r="G68" s="142">
        <f>6+G69</f>
        <v>10</v>
      </c>
      <c r="H68" s="142">
        <f>3+H69</f>
        <v>5</v>
      </c>
      <c r="I68" s="142">
        <f>3+I69</f>
        <v>5</v>
      </c>
      <c r="J68" s="142">
        <f>3+J69</f>
        <v>5</v>
      </c>
      <c r="K68" s="142">
        <f>3+K69</f>
        <v>5</v>
      </c>
      <c r="L68" s="142">
        <f>3+L69</f>
        <v>5</v>
      </c>
      <c r="M68" s="168" t="s">
        <v>192</v>
      </c>
    </row>
    <row r="69" spans="2:13" ht="60.75" hidden="1" customHeight="1" x14ac:dyDescent="0.2">
      <c r="B69" s="955"/>
      <c r="C69" s="958"/>
      <c r="D69" s="46" t="s">
        <v>217</v>
      </c>
      <c r="E69" s="142" t="s">
        <v>240</v>
      </c>
      <c r="F69" s="142">
        <v>4</v>
      </c>
      <c r="G69" s="142">
        <v>4</v>
      </c>
      <c r="H69" s="142">
        <v>2</v>
      </c>
      <c r="I69" s="142">
        <v>2</v>
      </c>
      <c r="J69" s="142">
        <v>2</v>
      </c>
      <c r="K69" s="142">
        <v>2</v>
      </c>
      <c r="L69" s="142">
        <v>2</v>
      </c>
      <c r="M69" s="168" t="s">
        <v>192</v>
      </c>
    </row>
    <row r="70" spans="2:13" ht="99" customHeight="1" x14ac:dyDescent="0.2">
      <c r="B70" s="955"/>
      <c r="C70" s="958"/>
      <c r="D70" s="46" t="s">
        <v>654</v>
      </c>
      <c r="E70" s="142" t="s">
        <v>240</v>
      </c>
      <c r="F70" s="142">
        <v>24</v>
      </c>
      <c r="G70" s="142">
        <v>24</v>
      </c>
      <c r="H70" s="142">
        <f>8+H71</f>
        <v>24</v>
      </c>
      <c r="I70" s="142">
        <v>24</v>
      </c>
      <c r="J70" s="142">
        <v>24</v>
      </c>
      <c r="K70" s="142">
        <v>24</v>
      </c>
      <c r="L70" s="142">
        <v>24</v>
      </c>
      <c r="M70" s="168" t="s">
        <v>192</v>
      </c>
    </row>
    <row r="71" spans="2:13" ht="60.75" hidden="1" customHeight="1" thickBot="1" x14ac:dyDescent="0.25">
      <c r="B71" s="956"/>
      <c r="C71" s="959"/>
      <c r="D71" s="171" t="s">
        <v>259</v>
      </c>
      <c r="E71" s="143" t="s">
        <v>240</v>
      </c>
      <c r="F71" s="143">
        <v>26</v>
      </c>
      <c r="G71" s="143">
        <v>18</v>
      </c>
      <c r="H71" s="143">
        <v>16</v>
      </c>
      <c r="I71" s="143">
        <v>18</v>
      </c>
      <c r="J71" s="143">
        <v>18</v>
      </c>
      <c r="K71" s="143">
        <v>18</v>
      </c>
      <c r="L71" s="143">
        <v>18</v>
      </c>
      <c r="M71" s="173" t="s">
        <v>192</v>
      </c>
    </row>
    <row r="72" spans="2:13" ht="87.75" hidden="1" customHeight="1" thickBot="1" x14ac:dyDescent="0.25">
      <c r="B72" s="144" t="s">
        <v>576</v>
      </c>
      <c r="C72" s="152" t="s">
        <v>603</v>
      </c>
      <c r="D72" s="153" t="s">
        <v>580</v>
      </c>
      <c r="E72" s="154" t="s">
        <v>240</v>
      </c>
      <c r="F72" s="154">
        <v>0</v>
      </c>
      <c r="G72" s="154">
        <v>0</v>
      </c>
      <c r="H72" s="154">
        <v>2</v>
      </c>
      <c r="I72" s="154">
        <v>0</v>
      </c>
      <c r="J72" s="154">
        <v>0</v>
      </c>
      <c r="K72" s="154">
        <v>0</v>
      </c>
      <c r="L72" s="154">
        <v>2</v>
      </c>
      <c r="M72" s="155" t="s">
        <v>577</v>
      </c>
    </row>
  </sheetData>
  <mergeCells count="31">
    <mergeCell ref="C13:D13"/>
    <mergeCell ref="C14:D14"/>
    <mergeCell ref="C15:D15"/>
    <mergeCell ref="C16:D16"/>
    <mergeCell ref="C8:M8"/>
    <mergeCell ref="C9:D9"/>
    <mergeCell ref="C10:D10"/>
    <mergeCell ref="C11:D11"/>
    <mergeCell ref="C12:D12"/>
    <mergeCell ref="B17:B21"/>
    <mergeCell ref="C17:C21"/>
    <mergeCell ref="C58:D58"/>
    <mergeCell ref="B22:B45"/>
    <mergeCell ref="C22:C45"/>
    <mergeCell ref="C53:M53"/>
    <mergeCell ref="C54:D54"/>
    <mergeCell ref="C55:D55"/>
    <mergeCell ref="C56:D56"/>
    <mergeCell ref="C57:D57"/>
    <mergeCell ref="M17:M21"/>
    <mergeCell ref="M22:M26"/>
    <mergeCell ref="N24:N28"/>
    <mergeCell ref="B46:B52"/>
    <mergeCell ref="C46:C52"/>
    <mergeCell ref="M46:M49"/>
    <mergeCell ref="C59:D59"/>
    <mergeCell ref="C60:D60"/>
    <mergeCell ref="B61:B65"/>
    <mergeCell ref="C61:C65"/>
    <mergeCell ref="B66:B71"/>
    <mergeCell ref="C66:C71"/>
  </mergeCells>
  <printOptions horizontalCentered="1"/>
  <pageMargins left="0.59055118110236227" right="0.59055118110236227" top="0.59055118110236227" bottom="0.59055118110236227" header="0.31496062992125984" footer="0.31496062992125984"/>
  <pageSetup paperSize="9" scale="75" firstPageNumber="15" fitToHeight="0" orientation="landscape" useFirstPageNumber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/>
    <pageSetUpPr fitToPage="1"/>
  </sheetPr>
  <dimension ref="B1:S64"/>
  <sheetViews>
    <sheetView view="pageBreakPreview" topLeftCell="A6" zoomScale="60" zoomScaleNormal="75" workbookViewId="0">
      <pane ySplit="1080" topLeftCell="A47" activePane="bottomLeft"/>
      <selection activeCell="I6" sqref="I1:I65536"/>
      <selection pane="bottomLeft" activeCell="M53" sqref="M53"/>
    </sheetView>
  </sheetViews>
  <sheetFormatPr defaultRowHeight="12.75" x14ac:dyDescent="0.2"/>
  <cols>
    <col min="1" max="1" width="2.85546875" customWidth="1"/>
    <col min="2" max="2" width="17.85546875" customWidth="1"/>
    <col min="3" max="3" width="27.7109375" customWidth="1"/>
    <col min="4" max="4" width="28" customWidth="1"/>
    <col min="5" max="6" width="13.5703125" customWidth="1"/>
    <col min="7" max="7" width="14.7109375" hidden="1" customWidth="1"/>
    <col min="8" max="8" width="14.5703125" customWidth="1"/>
    <col min="9" max="9" width="14.140625" style="525" customWidth="1"/>
    <col min="10" max="11" width="15" customWidth="1"/>
    <col min="12" max="12" width="13.7109375" customWidth="1"/>
    <col min="13" max="13" width="21.28515625" customWidth="1"/>
    <col min="14" max="14" width="32.5703125" customWidth="1"/>
  </cols>
  <sheetData>
    <row r="1" spans="2:13" ht="18.75" x14ac:dyDescent="0.2">
      <c r="M1" s="164" t="s">
        <v>509</v>
      </c>
    </row>
    <row r="2" spans="2:13" ht="18.75" x14ac:dyDescent="0.2">
      <c r="M2" s="164" t="s">
        <v>508</v>
      </c>
    </row>
    <row r="3" spans="2:13" ht="18.75" x14ac:dyDescent="0.2">
      <c r="B3" s="31" t="s">
        <v>138</v>
      </c>
      <c r="C3" s="24"/>
      <c r="D3" s="24"/>
      <c r="E3" s="24"/>
      <c r="F3" s="24"/>
      <c r="G3" s="24"/>
      <c r="H3" s="24"/>
      <c r="I3" s="526"/>
      <c r="J3" s="24"/>
      <c r="K3" s="24"/>
      <c r="L3" s="24"/>
      <c r="M3" s="24"/>
    </row>
    <row r="4" spans="2:13" ht="18.75" x14ac:dyDescent="0.2">
      <c r="B4" s="31" t="s">
        <v>139</v>
      </c>
      <c r="C4" s="24"/>
      <c r="D4" s="24"/>
      <c r="E4" s="24"/>
      <c r="F4" s="24"/>
      <c r="G4" s="24"/>
      <c r="H4" s="24"/>
      <c r="I4" s="526"/>
      <c r="J4" s="24"/>
      <c r="K4" s="24"/>
      <c r="L4" s="24"/>
      <c r="M4" s="24"/>
    </row>
    <row r="5" spans="2:13" ht="13.5" thickBot="1" x14ac:dyDescent="0.25"/>
    <row r="6" spans="2:13" ht="94.5" thickBot="1" x14ac:dyDescent="0.25">
      <c r="B6" s="159" t="s">
        <v>670</v>
      </c>
      <c r="C6" s="160" t="s">
        <v>112</v>
      </c>
      <c r="D6" s="159" t="s">
        <v>113</v>
      </c>
      <c r="E6" s="160" t="s">
        <v>119</v>
      </c>
      <c r="F6" s="159" t="s">
        <v>114</v>
      </c>
      <c r="G6" s="160">
        <v>2020</v>
      </c>
      <c r="H6" s="159">
        <v>2021</v>
      </c>
      <c r="I6" s="527">
        <v>2022</v>
      </c>
      <c r="J6" s="159">
        <v>2023</v>
      </c>
      <c r="K6" s="159">
        <v>2024</v>
      </c>
      <c r="L6" s="160" t="s">
        <v>120</v>
      </c>
      <c r="M6" s="159" t="s">
        <v>137</v>
      </c>
    </row>
    <row r="7" spans="2:13" ht="19.5" thickBot="1" x14ac:dyDescent="0.25">
      <c r="B7" s="161">
        <v>1</v>
      </c>
      <c r="C7" s="162">
        <v>2</v>
      </c>
      <c r="D7" s="161">
        <v>3</v>
      </c>
      <c r="E7" s="162">
        <v>4</v>
      </c>
      <c r="F7" s="161">
        <v>5</v>
      </c>
      <c r="G7" s="162">
        <v>6</v>
      </c>
      <c r="H7" s="161">
        <v>6</v>
      </c>
      <c r="I7" s="528">
        <v>7</v>
      </c>
      <c r="J7" s="161">
        <v>8</v>
      </c>
      <c r="K7" s="161">
        <v>9</v>
      </c>
      <c r="L7" s="162">
        <v>10</v>
      </c>
      <c r="M7" s="161">
        <v>11</v>
      </c>
    </row>
    <row r="8" spans="2:13" ht="50.25" customHeight="1" thickBot="1" x14ac:dyDescent="0.25">
      <c r="B8" s="165">
        <v>1</v>
      </c>
      <c r="C8" s="982" t="s">
        <v>659</v>
      </c>
      <c r="D8" s="983"/>
      <c r="E8" s="983"/>
      <c r="F8" s="983"/>
      <c r="G8" s="983"/>
      <c r="H8" s="983"/>
      <c r="I8" s="983"/>
      <c r="J8" s="983"/>
      <c r="K8" s="983"/>
      <c r="L8" s="983"/>
      <c r="M8" s="984"/>
    </row>
    <row r="9" spans="2:13" ht="79.5" customHeight="1" x14ac:dyDescent="0.2">
      <c r="B9" s="141" t="s">
        <v>183</v>
      </c>
      <c r="C9" s="966" t="s">
        <v>180</v>
      </c>
      <c r="D9" s="967"/>
      <c r="E9" s="146" t="s">
        <v>239</v>
      </c>
      <c r="F9" s="146">
        <v>41.1</v>
      </c>
      <c r="G9" s="146">
        <v>41.1</v>
      </c>
      <c r="H9" s="146">
        <v>44</v>
      </c>
      <c r="I9" s="529">
        <v>48</v>
      </c>
      <c r="J9" s="146">
        <v>52.1</v>
      </c>
      <c r="K9" s="146">
        <v>55.7</v>
      </c>
      <c r="L9" s="178">
        <v>57.1</v>
      </c>
      <c r="M9" s="166" t="s">
        <v>116</v>
      </c>
    </row>
    <row r="10" spans="2:13" ht="82.5" hidden="1" customHeight="1" x14ac:dyDescent="0.2">
      <c r="B10" s="141" t="s">
        <v>184</v>
      </c>
      <c r="C10" s="958" t="s">
        <v>650</v>
      </c>
      <c r="D10" s="951"/>
      <c r="E10" s="142" t="s">
        <v>239</v>
      </c>
      <c r="F10" s="142">
        <v>20</v>
      </c>
      <c r="G10" s="142">
        <v>20</v>
      </c>
      <c r="H10" s="142">
        <v>20</v>
      </c>
      <c r="I10" s="530">
        <v>20</v>
      </c>
      <c r="J10" s="142">
        <v>20</v>
      </c>
      <c r="K10" s="142">
        <v>20</v>
      </c>
      <c r="L10" s="53">
        <v>20</v>
      </c>
      <c r="M10" s="168" t="s">
        <v>116</v>
      </c>
    </row>
    <row r="11" spans="2:13" ht="93" customHeight="1" x14ac:dyDescent="0.2">
      <c r="B11" s="141" t="s">
        <v>184</v>
      </c>
      <c r="C11" s="980" t="s">
        <v>249</v>
      </c>
      <c r="D11" s="981"/>
      <c r="E11" s="142" t="s">
        <v>239</v>
      </c>
      <c r="F11" s="142">
        <v>80</v>
      </c>
      <c r="G11" s="142">
        <v>80</v>
      </c>
      <c r="H11" s="142">
        <v>82</v>
      </c>
      <c r="I11" s="530">
        <v>83</v>
      </c>
      <c r="J11" s="142">
        <v>85</v>
      </c>
      <c r="K11" s="142">
        <v>86</v>
      </c>
      <c r="L11" s="53">
        <v>87</v>
      </c>
      <c r="M11" s="168" t="s">
        <v>116</v>
      </c>
    </row>
    <row r="12" spans="2:13" ht="100.5" customHeight="1" x14ac:dyDescent="0.2">
      <c r="B12" s="141" t="s">
        <v>185</v>
      </c>
      <c r="C12" s="958" t="s">
        <v>250</v>
      </c>
      <c r="D12" s="951"/>
      <c r="E12" s="142" t="s">
        <v>239</v>
      </c>
      <c r="F12" s="142">
        <v>28.2</v>
      </c>
      <c r="G12" s="142">
        <v>28.2</v>
      </c>
      <c r="H12" s="142">
        <v>31.3</v>
      </c>
      <c r="I12" s="530">
        <v>38.5</v>
      </c>
      <c r="J12" s="142">
        <v>45</v>
      </c>
      <c r="K12" s="142">
        <v>52</v>
      </c>
      <c r="L12" s="53">
        <v>55</v>
      </c>
      <c r="M12" s="168" t="s">
        <v>116</v>
      </c>
    </row>
    <row r="13" spans="2:13" ht="117" customHeight="1" x14ac:dyDescent="0.2">
      <c r="B13" s="141" t="s">
        <v>186</v>
      </c>
      <c r="C13" s="958" t="s">
        <v>251</v>
      </c>
      <c r="D13" s="951"/>
      <c r="E13" s="142" t="s">
        <v>239</v>
      </c>
      <c r="F13" s="142">
        <v>12</v>
      </c>
      <c r="G13" s="142">
        <v>12</v>
      </c>
      <c r="H13" s="142">
        <v>17</v>
      </c>
      <c r="I13" s="530">
        <v>20</v>
      </c>
      <c r="J13" s="142">
        <v>23</v>
      </c>
      <c r="K13" s="142">
        <v>25</v>
      </c>
      <c r="L13" s="53">
        <v>26</v>
      </c>
      <c r="M13" s="168" t="s">
        <v>116</v>
      </c>
    </row>
    <row r="14" spans="2:13" ht="71.25" customHeight="1" x14ac:dyDescent="0.2">
      <c r="B14" s="141" t="s">
        <v>205</v>
      </c>
      <c r="C14" s="980" t="s">
        <v>252</v>
      </c>
      <c r="D14" s="981"/>
      <c r="E14" s="142" t="s">
        <v>239</v>
      </c>
      <c r="F14" s="142">
        <v>43.8</v>
      </c>
      <c r="G14" s="142">
        <v>43.8</v>
      </c>
      <c r="H14" s="142">
        <v>44</v>
      </c>
      <c r="I14" s="530">
        <v>44</v>
      </c>
      <c r="J14" s="142">
        <v>44</v>
      </c>
      <c r="K14" s="142">
        <v>44</v>
      </c>
      <c r="L14" s="53">
        <v>44</v>
      </c>
      <c r="M14" s="168" t="s">
        <v>116</v>
      </c>
    </row>
    <row r="15" spans="2:13" ht="120" customHeight="1" x14ac:dyDescent="0.2">
      <c r="B15" s="141" t="s">
        <v>206</v>
      </c>
      <c r="C15" s="980" t="s">
        <v>253</v>
      </c>
      <c r="D15" s="981"/>
      <c r="E15" s="142" t="s">
        <v>239</v>
      </c>
      <c r="F15" s="142">
        <v>50.9</v>
      </c>
      <c r="G15" s="142">
        <v>52.8</v>
      </c>
      <c r="H15" s="142">
        <v>53</v>
      </c>
      <c r="I15" s="530">
        <v>53.2</v>
      </c>
      <c r="J15" s="142">
        <v>53.4</v>
      </c>
      <c r="K15" s="142">
        <v>54</v>
      </c>
      <c r="L15" s="142">
        <v>54.05</v>
      </c>
      <c r="M15" s="148" t="s">
        <v>116</v>
      </c>
    </row>
    <row r="16" spans="2:13" ht="46.5" customHeight="1" thickBot="1" x14ac:dyDescent="0.25">
      <c r="B16" s="169" t="s">
        <v>208</v>
      </c>
      <c r="C16" s="952" t="s">
        <v>181</v>
      </c>
      <c r="D16" s="953"/>
      <c r="E16" s="158" t="s">
        <v>239</v>
      </c>
      <c r="F16" s="158">
        <v>70</v>
      </c>
      <c r="G16" s="158">
        <v>70</v>
      </c>
      <c r="H16" s="158">
        <v>72</v>
      </c>
      <c r="I16" s="531">
        <v>72</v>
      </c>
      <c r="J16" s="158">
        <v>72</v>
      </c>
      <c r="K16" s="158">
        <v>72.05</v>
      </c>
      <c r="L16" s="158">
        <v>72.099999999999994</v>
      </c>
      <c r="M16" s="170" t="s">
        <v>116</v>
      </c>
    </row>
    <row r="17" spans="2:19" ht="39.75" customHeight="1" x14ac:dyDescent="0.2">
      <c r="B17" s="954" t="s">
        <v>63</v>
      </c>
      <c r="C17" s="957" t="s">
        <v>583</v>
      </c>
      <c r="D17" s="138" t="s">
        <v>230</v>
      </c>
      <c r="E17" s="139" t="s">
        <v>240</v>
      </c>
      <c r="F17" s="139">
        <v>19</v>
      </c>
      <c r="G17" s="139">
        <v>19</v>
      </c>
      <c r="H17" s="139">
        <v>191</v>
      </c>
      <c r="I17" s="532">
        <v>196</v>
      </c>
      <c r="J17" s="139">
        <v>201</v>
      </c>
      <c r="K17" s="139">
        <v>202</v>
      </c>
      <c r="L17" s="139">
        <v>202</v>
      </c>
      <c r="M17" s="964" t="s">
        <v>212</v>
      </c>
    </row>
    <row r="18" spans="2:19" ht="39" customHeight="1" x14ac:dyDescent="0.2">
      <c r="B18" s="955"/>
      <c r="C18" s="958"/>
      <c r="D18" s="46" t="s">
        <v>231</v>
      </c>
      <c r="E18" s="142" t="s">
        <v>241</v>
      </c>
      <c r="F18" s="142">
        <v>13646</v>
      </c>
      <c r="G18" s="142">
        <v>13646</v>
      </c>
      <c r="H18" s="142">
        <v>91000</v>
      </c>
      <c r="I18" s="530">
        <v>92300</v>
      </c>
      <c r="J18" s="142">
        <v>93400</v>
      </c>
      <c r="K18" s="142">
        <v>93500</v>
      </c>
      <c r="L18" s="142">
        <v>93600</v>
      </c>
      <c r="M18" s="965"/>
    </row>
    <row r="19" spans="2:19" ht="137.25" customHeight="1" thickBot="1" x14ac:dyDescent="0.25">
      <c r="B19" s="955"/>
      <c r="C19" s="958"/>
      <c r="D19" s="46" t="s">
        <v>475</v>
      </c>
      <c r="E19" s="142" t="s">
        <v>241</v>
      </c>
      <c r="F19" s="142">
        <v>55</v>
      </c>
      <c r="G19" s="142">
        <v>55</v>
      </c>
      <c r="H19" s="142">
        <v>55</v>
      </c>
      <c r="I19" s="530">
        <v>55</v>
      </c>
      <c r="J19" s="142">
        <v>55</v>
      </c>
      <c r="K19" s="142">
        <v>55</v>
      </c>
      <c r="L19" s="142">
        <v>55</v>
      </c>
      <c r="M19" s="965"/>
    </row>
    <row r="20" spans="2:19" ht="39.75" hidden="1" customHeight="1" thickBot="1" x14ac:dyDescent="0.25">
      <c r="B20" s="955"/>
      <c r="C20" s="958"/>
      <c r="D20" s="46" t="s">
        <v>232</v>
      </c>
      <c r="E20" s="142" t="s">
        <v>240</v>
      </c>
      <c r="F20" s="142">
        <v>50</v>
      </c>
      <c r="G20" s="142">
        <v>50</v>
      </c>
      <c r="H20" s="142">
        <v>50</v>
      </c>
      <c r="I20" s="530">
        <v>50</v>
      </c>
      <c r="J20" s="142">
        <v>50</v>
      </c>
      <c r="K20" s="142"/>
      <c r="L20" s="142">
        <v>50</v>
      </c>
      <c r="M20" s="965"/>
    </row>
    <row r="21" spans="2:19" ht="54" hidden="1" customHeight="1" thickBot="1" x14ac:dyDescent="0.25">
      <c r="B21" s="956"/>
      <c r="C21" s="959"/>
      <c r="D21" s="171" t="s">
        <v>254</v>
      </c>
      <c r="E21" s="143" t="s">
        <v>240</v>
      </c>
      <c r="F21" s="143">
        <v>1</v>
      </c>
      <c r="G21" s="143">
        <v>1</v>
      </c>
      <c r="H21" s="143">
        <v>1</v>
      </c>
      <c r="I21" s="533" t="s">
        <v>199</v>
      </c>
      <c r="J21" s="172" t="s">
        <v>199</v>
      </c>
      <c r="K21" s="172"/>
      <c r="L21" s="172">
        <v>1</v>
      </c>
      <c r="M21" s="978"/>
    </row>
    <row r="22" spans="2:19" ht="74.25" customHeight="1" x14ac:dyDescent="0.2">
      <c r="B22" s="954" t="s">
        <v>64</v>
      </c>
      <c r="C22" s="957" t="s">
        <v>175</v>
      </c>
      <c r="D22" s="138" t="s">
        <v>657</v>
      </c>
      <c r="E22" s="139" t="s">
        <v>243</v>
      </c>
      <c r="F22" s="139">
        <v>1163874</v>
      </c>
      <c r="G22" s="139" t="s">
        <v>519</v>
      </c>
      <c r="H22" s="139">
        <v>924110</v>
      </c>
      <c r="I22" s="532">
        <v>924110</v>
      </c>
      <c r="J22" s="139">
        <v>924110</v>
      </c>
      <c r="K22" s="139">
        <v>924110</v>
      </c>
      <c r="L22" s="139">
        <v>924110</v>
      </c>
      <c r="M22" s="964" t="s">
        <v>192</v>
      </c>
      <c r="N22" s="163"/>
    </row>
    <row r="23" spans="2:19" ht="134.25" customHeight="1" thickBot="1" x14ac:dyDescent="0.25">
      <c r="B23" s="955"/>
      <c r="C23" s="958"/>
      <c r="D23" s="46" t="s">
        <v>475</v>
      </c>
      <c r="E23" s="142" t="s">
        <v>241</v>
      </c>
      <c r="F23" s="142">
        <v>2839</v>
      </c>
      <c r="G23" s="142">
        <v>191</v>
      </c>
      <c r="H23" s="142">
        <v>2744</v>
      </c>
      <c r="I23" s="530">
        <v>2744</v>
      </c>
      <c r="J23" s="142">
        <v>2744</v>
      </c>
      <c r="K23" s="142">
        <v>2744</v>
      </c>
      <c r="L23" s="142">
        <v>2744</v>
      </c>
      <c r="M23" s="965"/>
      <c r="N23" s="960"/>
    </row>
    <row r="24" spans="2:19" ht="34.5" hidden="1" customHeight="1" x14ac:dyDescent="0.2">
      <c r="B24" s="955"/>
      <c r="C24" s="958"/>
      <c r="D24" s="46" t="s">
        <v>232</v>
      </c>
      <c r="E24" s="142" t="s">
        <v>240</v>
      </c>
      <c r="F24" s="142">
        <v>93</v>
      </c>
      <c r="G24" s="142">
        <v>93</v>
      </c>
      <c r="H24" s="142">
        <v>94</v>
      </c>
      <c r="I24" s="530">
        <v>93</v>
      </c>
      <c r="J24" s="142">
        <v>93</v>
      </c>
      <c r="K24" s="142"/>
      <c r="L24" s="142">
        <v>93</v>
      </c>
      <c r="M24" s="965"/>
      <c r="N24" s="960"/>
    </row>
    <row r="25" spans="2:19" ht="42.75" hidden="1" customHeight="1" x14ac:dyDescent="0.2">
      <c r="B25" s="955"/>
      <c r="C25" s="958"/>
      <c r="D25" s="46" t="s">
        <v>233</v>
      </c>
      <c r="E25" s="142" t="s">
        <v>241</v>
      </c>
      <c r="F25" s="142">
        <v>2720</v>
      </c>
      <c r="G25" s="142">
        <v>2720</v>
      </c>
      <c r="H25" s="142">
        <v>2720</v>
      </c>
      <c r="I25" s="530">
        <v>2720</v>
      </c>
      <c r="J25" s="142">
        <v>2720</v>
      </c>
      <c r="K25" s="142"/>
      <c r="L25" s="142">
        <v>2720</v>
      </c>
      <c r="M25" s="965"/>
      <c r="N25" s="960"/>
    </row>
    <row r="26" spans="2:19" ht="54" hidden="1" customHeight="1" x14ac:dyDescent="0.2">
      <c r="B26" s="955"/>
      <c r="C26" s="958"/>
      <c r="D26" s="46" t="s">
        <v>254</v>
      </c>
      <c r="E26" s="142" t="s">
        <v>240</v>
      </c>
      <c r="F26" s="142">
        <v>6</v>
      </c>
      <c r="G26" s="142">
        <v>6</v>
      </c>
      <c r="H26" s="142">
        <v>4</v>
      </c>
      <c r="I26" s="530">
        <v>2</v>
      </c>
      <c r="J26" s="142">
        <v>1</v>
      </c>
      <c r="K26" s="142"/>
      <c r="L26" s="142">
        <v>2</v>
      </c>
      <c r="M26" s="168" t="s">
        <v>192</v>
      </c>
      <c r="N26" s="960"/>
    </row>
    <row r="27" spans="2:19" ht="89.25" hidden="1" customHeight="1" thickBot="1" x14ac:dyDescent="0.25">
      <c r="B27" s="955"/>
      <c r="C27" s="958"/>
      <c r="D27" s="46" t="s">
        <v>527</v>
      </c>
      <c r="E27" s="142" t="s">
        <v>240</v>
      </c>
      <c r="F27" s="142">
        <v>2</v>
      </c>
      <c r="G27" s="142">
        <v>2</v>
      </c>
      <c r="H27" s="142">
        <v>6</v>
      </c>
      <c r="I27" s="530">
        <v>3</v>
      </c>
      <c r="J27" s="142" t="s">
        <v>199</v>
      </c>
      <c r="K27" s="142"/>
      <c r="L27" s="142">
        <v>1</v>
      </c>
      <c r="M27" s="168" t="s">
        <v>192</v>
      </c>
      <c r="N27" s="960"/>
    </row>
    <row r="28" spans="2:19" ht="46.5" hidden="1" customHeight="1" x14ac:dyDescent="0.2">
      <c r="B28" s="955"/>
      <c r="C28" s="958"/>
      <c r="D28" s="167" t="s">
        <v>190</v>
      </c>
      <c r="E28" s="167" t="s">
        <v>193</v>
      </c>
      <c r="F28" s="174" t="s">
        <v>199</v>
      </c>
      <c r="G28" s="174" t="s">
        <v>199</v>
      </c>
      <c r="H28" s="142">
        <v>1</v>
      </c>
      <c r="I28" s="534" t="s">
        <v>199</v>
      </c>
      <c r="J28" s="174" t="s">
        <v>199</v>
      </c>
      <c r="K28" s="174"/>
      <c r="L28" s="174" t="s">
        <v>199</v>
      </c>
      <c r="M28" s="168" t="s">
        <v>200</v>
      </c>
    </row>
    <row r="29" spans="2:19" ht="46.5" hidden="1" customHeight="1" x14ac:dyDescent="0.2">
      <c r="B29" s="955"/>
      <c r="C29" s="958"/>
      <c r="D29" s="167" t="s">
        <v>190</v>
      </c>
      <c r="E29" s="167" t="s">
        <v>193</v>
      </c>
      <c r="F29" s="174" t="s">
        <v>199</v>
      </c>
      <c r="G29" s="174" t="s">
        <v>199</v>
      </c>
      <c r="H29" s="142">
        <v>1</v>
      </c>
      <c r="I29" s="534" t="s">
        <v>199</v>
      </c>
      <c r="J29" s="174" t="s">
        <v>199</v>
      </c>
      <c r="K29" s="174"/>
      <c r="L29" s="174" t="s">
        <v>199</v>
      </c>
      <c r="M29" s="168" t="s">
        <v>200</v>
      </c>
    </row>
    <row r="30" spans="2:19" ht="46.5" hidden="1" customHeight="1" x14ac:dyDescent="0.2">
      <c r="B30" s="955"/>
      <c r="C30" s="958"/>
      <c r="D30" s="167" t="s">
        <v>190</v>
      </c>
      <c r="E30" s="167" t="s">
        <v>193</v>
      </c>
      <c r="F30" s="174" t="s">
        <v>199</v>
      </c>
      <c r="G30" s="174" t="s">
        <v>199</v>
      </c>
      <c r="H30" s="142">
        <v>1</v>
      </c>
      <c r="I30" s="534" t="s">
        <v>199</v>
      </c>
      <c r="J30" s="174" t="s">
        <v>199</v>
      </c>
      <c r="K30" s="174"/>
      <c r="L30" s="174" t="s">
        <v>199</v>
      </c>
      <c r="M30" s="168" t="s">
        <v>200</v>
      </c>
      <c r="P30">
        <v>2020</v>
      </c>
      <c r="Q30">
        <v>2021</v>
      </c>
      <c r="R30">
        <v>2022</v>
      </c>
      <c r="S30">
        <v>2023</v>
      </c>
    </row>
    <row r="31" spans="2:19" ht="46.5" hidden="1" customHeight="1" x14ac:dyDescent="0.2">
      <c r="B31" s="955"/>
      <c r="C31" s="958"/>
      <c r="D31" s="167" t="s">
        <v>190</v>
      </c>
      <c r="E31" s="167" t="s">
        <v>193</v>
      </c>
      <c r="F31" s="174" t="s">
        <v>199</v>
      </c>
      <c r="G31" s="174" t="s">
        <v>199</v>
      </c>
      <c r="H31" s="174" t="s">
        <v>199</v>
      </c>
      <c r="I31" s="530">
        <v>1</v>
      </c>
      <c r="J31" s="174" t="s">
        <v>199</v>
      </c>
      <c r="K31" s="174"/>
      <c r="L31" s="174" t="s">
        <v>199</v>
      </c>
      <c r="M31" s="168" t="s">
        <v>200</v>
      </c>
    </row>
    <row r="32" spans="2:19" ht="46.5" hidden="1" customHeight="1" x14ac:dyDescent="0.2">
      <c r="B32" s="955"/>
      <c r="C32" s="958"/>
      <c r="D32" s="167" t="s">
        <v>190</v>
      </c>
      <c r="E32" s="167" t="s">
        <v>193</v>
      </c>
      <c r="F32" s="174" t="s">
        <v>199</v>
      </c>
      <c r="G32" s="174" t="s">
        <v>199</v>
      </c>
      <c r="H32" s="174" t="s">
        <v>199</v>
      </c>
      <c r="I32" s="530">
        <v>1</v>
      </c>
      <c r="J32" s="174" t="s">
        <v>199</v>
      </c>
      <c r="K32" s="174"/>
      <c r="L32" s="174" t="s">
        <v>199</v>
      </c>
      <c r="M32" s="168" t="s">
        <v>200</v>
      </c>
    </row>
    <row r="33" spans="2:14" ht="46.5" hidden="1" customHeight="1" x14ac:dyDescent="0.2">
      <c r="B33" s="955"/>
      <c r="C33" s="958"/>
      <c r="D33" s="167" t="s">
        <v>190</v>
      </c>
      <c r="E33" s="167" t="s">
        <v>193</v>
      </c>
      <c r="F33" s="174" t="s">
        <v>199</v>
      </c>
      <c r="G33" s="174" t="s">
        <v>199</v>
      </c>
      <c r="H33" s="174" t="s">
        <v>199</v>
      </c>
      <c r="I33" s="534" t="s">
        <v>199</v>
      </c>
      <c r="J33" s="174">
        <v>1</v>
      </c>
      <c r="K33" s="174"/>
      <c r="L33" s="174" t="s">
        <v>199</v>
      </c>
      <c r="M33" s="168" t="s">
        <v>200</v>
      </c>
    </row>
    <row r="34" spans="2:14" ht="46.5" hidden="1" customHeight="1" x14ac:dyDescent="0.2">
      <c r="B34" s="955"/>
      <c r="C34" s="958"/>
      <c r="D34" s="167" t="s">
        <v>190</v>
      </c>
      <c r="E34" s="167" t="s">
        <v>193</v>
      </c>
      <c r="F34" s="174" t="s">
        <v>199</v>
      </c>
      <c r="G34" s="174" t="s">
        <v>199</v>
      </c>
      <c r="H34" s="142">
        <v>1</v>
      </c>
      <c r="I34" s="534" t="s">
        <v>199</v>
      </c>
      <c r="J34" s="174" t="s">
        <v>199</v>
      </c>
      <c r="K34" s="174"/>
      <c r="L34" s="174" t="s">
        <v>199</v>
      </c>
      <c r="M34" s="168" t="s">
        <v>204</v>
      </c>
    </row>
    <row r="35" spans="2:14" ht="46.5" hidden="1" customHeight="1" x14ac:dyDescent="0.2">
      <c r="B35" s="955"/>
      <c r="C35" s="958"/>
      <c r="D35" s="167" t="s">
        <v>190</v>
      </c>
      <c r="E35" s="167" t="s">
        <v>193</v>
      </c>
      <c r="F35" s="174" t="s">
        <v>199</v>
      </c>
      <c r="G35" s="174" t="s">
        <v>199</v>
      </c>
      <c r="H35" s="142">
        <v>1</v>
      </c>
      <c r="I35" s="534" t="s">
        <v>199</v>
      </c>
      <c r="J35" s="174" t="s">
        <v>199</v>
      </c>
      <c r="K35" s="174"/>
      <c r="L35" s="174" t="s">
        <v>199</v>
      </c>
      <c r="M35" s="168" t="s">
        <v>204</v>
      </c>
    </row>
    <row r="36" spans="2:14" ht="52.5" hidden="1" customHeight="1" x14ac:dyDescent="0.2">
      <c r="B36" s="955"/>
      <c r="C36" s="958"/>
      <c r="D36" s="167" t="s">
        <v>190</v>
      </c>
      <c r="E36" s="167" t="s">
        <v>193</v>
      </c>
      <c r="F36" s="174" t="s">
        <v>199</v>
      </c>
      <c r="G36" s="174" t="s">
        <v>199</v>
      </c>
      <c r="H36" s="142">
        <v>1</v>
      </c>
      <c r="I36" s="534" t="s">
        <v>199</v>
      </c>
      <c r="J36" s="174" t="s">
        <v>199</v>
      </c>
      <c r="K36" s="174"/>
      <c r="L36" s="174" t="s">
        <v>199</v>
      </c>
      <c r="M36" s="168" t="s">
        <v>201</v>
      </c>
    </row>
    <row r="37" spans="2:14" ht="46.5" hidden="1" customHeight="1" x14ac:dyDescent="0.2">
      <c r="B37" s="955"/>
      <c r="C37" s="958"/>
      <c r="D37" s="167" t="s">
        <v>190</v>
      </c>
      <c r="E37" s="167" t="s">
        <v>193</v>
      </c>
      <c r="F37" s="174" t="s">
        <v>199</v>
      </c>
      <c r="G37" s="174" t="s">
        <v>199</v>
      </c>
      <c r="H37" s="174" t="s">
        <v>199</v>
      </c>
      <c r="I37" s="534">
        <v>1</v>
      </c>
      <c r="J37" s="174" t="s">
        <v>199</v>
      </c>
      <c r="K37" s="174"/>
      <c r="L37" s="174" t="s">
        <v>199</v>
      </c>
      <c r="M37" s="168" t="s">
        <v>201</v>
      </c>
    </row>
    <row r="38" spans="2:14" ht="46.5" hidden="1" customHeight="1" x14ac:dyDescent="0.2">
      <c r="B38" s="955"/>
      <c r="C38" s="958"/>
      <c r="D38" s="167" t="s">
        <v>190</v>
      </c>
      <c r="E38" s="167" t="s">
        <v>193</v>
      </c>
      <c r="F38" s="174" t="s">
        <v>199</v>
      </c>
      <c r="G38" s="174" t="s">
        <v>199</v>
      </c>
      <c r="H38" s="142">
        <v>1</v>
      </c>
      <c r="I38" s="534" t="s">
        <v>199</v>
      </c>
      <c r="J38" s="174" t="s">
        <v>199</v>
      </c>
      <c r="K38" s="174"/>
      <c r="L38" s="174" t="s">
        <v>199</v>
      </c>
      <c r="M38" s="168" t="s">
        <v>202</v>
      </c>
    </row>
    <row r="39" spans="2:14" ht="66.75" hidden="1" customHeight="1" x14ac:dyDescent="0.2">
      <c r="B39" s="955"/>
      <c r="C39" s="958"/>
      <c r="D39" s="167" t="s">
        <v>190</v>
      </c>
      <c r="E39" s="167" t="s">
        <v>193</v>
      </c>
      <c r="F39" s="174" t="s">
        <v>199</v>
      </c>
      <c r="G39" s="174" t="s">
        <v>199</v>
      </c>
      <c r="H39" s="142">
        <v>1</v>
      </c>
      <c r="I39" s="534" t="s">
        <v>199</v>
      </c>
      <c r="J39" s="174" t="s">
        <v>199</v>
      </c>
      <c r="K39" s="174"/>
      <c r="L39" s="174" t="s">
        <v>199</v>
      </c>
      <c r="M39" s="168" t="s">
        <v>203</v>
      </c>
    </row>
    <row r="40" spans="2:14" ht="62.25" hidden="1" customHeight="1" x14ac:dyDescent="0.2">
      <c r="B40" s="955"/>
      <c r="C40" s="958"/>
      <c r="D40" s="167" t="s">
        <v>190</v>
      </c>
      <c r="E40" s="167" t="s">
        <v>193</v>
      </c>
      <c r="F40" s="174" t="s">
        <v>199</v>
      </c>
      <c r="G40" s="174" t="s">
        <v>199</v>
      </c>
      <c r="H40" s="142" t="s">
        <v>199</v>
      </c>
      <c r="I40" s="530">
        <v>1</v>
      </c>
      <c r="J40" s="174" t="s">
        <v>199</v>
      </c>
      <c r="K40" s="174"/>
      <c r="L40" s="174" t="s">
        <v>199</v>
      </c>
      <c r="M40" s="168" t="s">
        <v>204</v>
      </c>
    </row>
    <row r="41" spans="2:14" ht="49.5" hidden="1" customHeight="1" x14ac:dyDescent="0.2">
      <c r="B41" s="955"/>
      <c r="C41" s="958"/>
      <c r="D41" s="167" t="s">
        <v>190</v>
      </c>
      <c r="E41" s="167" t="s">
        <v>193</v>
      </c>
      <c r="F41" s="174" t="s">
        <v>199</v>
      </c>
      <c r="G41" s="174" t="s">
        <v>199</v>
      </c>
      <c r="H41" s="142" t="s">
        <v>199</v>
      </c>
      <c r="I41" s="530">
        <v>1</v>
      </c>
      <c r="J41" s="174" t="s">
        <v>199</v>
      </c>
      <c r="K41" s="174"/>
      <c r="L41" s="174" t="s">
        <v>199</v>
      </c>
      <c r="M41" s="168" t="s">
        <v>201</v>
      </c>
    </row>
    <row r="42" spans="2:14" ht="70.5" hidden="1" customHeight="1" x14ac:dyDescent="0.2">
      <c r="B42" s="955"/>
      <c r="C42" s="958"/>
      <c r="D42" s="167" t="s">
        <v>190</v>
      </c>
      <c r="E42" s="167" t="s">
        <v>193</v>
      </c>
      <c r="F42" s="174" t="s">
        <v>199</v>
      </c>
      <c r="G42" s="174" t="s">
        <v>199</v>
      </c>
      <c r="H42" s="142" t="s">
        <v>199</v>
      </c>
      <c r="I42" s="530">
        <v>1</v>
      </c>
      <c r="J42" s="174" t="s">
        <v>199</v>
      </c>
      <c r="K42" s="174"/>
      <c r="L42" s="174" t="s">
        <v>199</v>
      </c>
      <c r="M42" s="168" t="s">
        <v>203</v>
      </c>
    </row>
    <row r="43" spans="2:14" ht="46.5" hidden="1" customHeight="1" x14ac:dyDescent="0.2">
      <c r="B43" s="955"/>
      <c r="C43" s="958"/>
      <c r="D43" s="167" t="s">
        <v>190</v>
      </c>
      <c r="E43" s="167" t="s">
        <v>193</v>
      </c>
      <c r="F43" s="142" t="s">
        <v>199</v>
      </c>
      <c r="G43" s="142" t="s">
        <v>199</v>
      </c>
      <c r="H43" s="142">
        <v>1</v>
      </c>
      <c r="I43" s="530" t="s">
        <v>199</v>
      </c>
      <c r="J43" s="142" t="s">
        <v>199</v>
      </c>
      <c r="K43" s="142"/>
      <c r="L43" s="142">
        <v>1</v>
      </c>
      <c r="M43" s="168" t="s">
        <v>207</v>
      </c>
    </row>
    <row r="44" spans="2:14" ht="46.5" hidden="1" customHeight="1" thickBot="1" x14ac:dyDescent="0.25">
      <c r="B44" s="956"/>
      <c r="C44" s="959"/>
      <c r="D44" s="175" t="s">
        <v>190</v>
      </c>
      <c r="E44" s="175" t="s">
        <v>193</v>
      </c>
      <c r="F44" s="143" t="s">
        <v>199</v>
      </c>
      <c r="G44" s="143" t="s">
        <v>199</v>
      </c>
      <c r="H44" s="143">
        <v>1</v>
      </c>
      <c r="I44" s="535" t="s">
        <v>199</v>
      </c>
      <c r="J44" s="143" t="s">
        <v>199</v>
      </c>
      <c r="K44" s="143"/>
      <c r="L44" s="143">
        <v>1</v>
      </c>
      <c r="M44" s="173" t="s">
        <v>207</v>
      </c>
    </row>
    <row r="45" spans="2:14" ht="67.5" customHeight="1" x14ac:dyDescent="0.2">
      <c r="B45" s="954" t="s">
        <v>172</v>
      </c>
      <c r="C45" s="961" t="s">
        <v>176</v>
      </c>
      <c r="D45" s="138" t="s">
        <v>657</v>
      </c>
      <c r="E45" s="139" t="s">
        <v>243</v>
      </c>
      <c r="F45" s="139">
        <v>62400</v>
      </c>
      <c r="G45" s="139" t="s">
        <v>651</v>
      </c>
      <c r="H45" s="139">
        <v>62400</v>
      </c>
      <c r="I45" s="532">
        <v>62400</v>
      </c>
      <c r="J45" s="139">
        <v>62400</v>
      </c>
      <c r="K45" s="139">
        <v>62400</v>
      </c>
      <c r="L45" s="139">
        <v>62400</v>
      </c>
      <c r="M45" s="964" t="s">
        <v>192</v>
      </c>
      <c r="N45" s="163"/>
    </row>
    <row r="46" spans="2:14" ht="118.5" hidden="1" customHeight="1" x14ac:dyDescent="0.2">
      <c r="B46" s="955"/>
      <c r="C46" s="962"/>
      <c r="D46" s="46" t="s">
        <v>474</v>
      </c>
      <c r="E46" s="142" t="s">
        <v>240</v>
      </c>
      <c r="F46" s="174">
        <v>0</v>
      </c>
      <c r="G46" s="142">
        <v>0</v>
      </c>
      <c r="H46" s="142">
        <v>8</v>
      </c>
      <c r="I46" s="530">
        <v>8</v>
      </c>
      <c r="J46" s="142">
        <v>8</v>
      </c>
      <c r="K46" s="142"/>
      <c r="L46" s="142">
        <v>8</v>
      </c>
      <c r="M46" s="965"/>
    </row>
    <row r="47" spans="2:14" ht="136.5" customHeight="1" thickBot="1" x14ac:dyDescent="0.25">
      <c r="B47" s="955"/>
      <c r="C47" s="962"/>
      <c r="D47" s="46" t="s">
        <v>475</v>
      </c>
      <c r="E47" s="142" t="s">
        <v>241</v>
      </c>
      <c r="F47" s="142">
        <v>4184</v>
      </c>
      <c r="G47" s="142">
        <v>4184</v>
      </c>
      <c r="H47" s="142">
        <v>4858</v>
      </c>
      <c r="I47" s="530">
        <v>4858</v>
      </c>
      <c r="J47" s="142">
        <v>4858</v>
      </c>
      <c r="K47" s="142">
        <v>4858</v>
      </c>
      <c r="L47" s="142">
        <v>4858</v>
      </c>
      <c r="M47" s="965"/>
      <c r="N47" s="176"/>
    </row>
    <row r="48" spans="2:14" ht="55.5" hidden="1" customHeight="1" x14ac:dyDescent="0.2">
      <c r="B48" s="955"/>
      <c r="C48" s="962"/>
      <c r="D48" s="46" t="s">
        <v>254</v>
      </c>
      <c r="E48" s="142" t="s">
        <v>240</v>
      </c>
      <c r="F48" s="142">
        <v>5</v>
      </c>
      <c r="G48" s="142">
        <v>5</v>
      </c>
      <c r="H48" s="142">
        <v>8</v>
      </c>
      <c r="I48" s="530">
        <v>1</v>
      </c>
      <c r="J48" s="142">
        <v>1</v>
      </c>
      <c r="K48" s="142"/>
      <c r="L48" s="142">
        <v>2</v>
      </c>
      <c r="M48" s="168" t="s">
        <v>192</v>
      </c>
      <c r="N48" s="163"/>
    </row>
    <row r="49" spans="2:14" ht="91.5" hidden="1" customHeight="1" x14ac:dyDescent="0.2">
      <c r="B49" s="955"/>
      <c r="C49" s="962"/>
      <c r="D49" s="46" t="s">
        <v>527</v>
      </c>
      <c r="E49" s="142" t="s">
        <v>240</v>
      </c>
      <c r="F49" s="142">
        <v>1</v>
      </c>
      <c r="G49" s="142">
        <v>1</v>
      </c>
      <c r="H49" s="142">
        <v>3</v>
      </c>
      <c r="I49" s="534" t="s">
        <v>199</v>
      </c>
      <c r="J49" s="142">
        <v>2</v>
      </c>
      <c r="K49" s="142"/>
      <c r="L49" s="142">
        <v>2</v>
      </c>
      <c r="M49" s="168" t="s">
        <v>192</v>
      </c>
    </row>
    <row r="50" spans="2:14" ht="63" hidden="1" customHeight="1" thickBot="1" x14ac:dyDescent="0.25">
      <c r="B50" s="956"/>
      <c r="C50" s="963"/>
      <c r="D50" s="171" t="s">
        <v>220</v>
      </c>
      <c r="E50" s="143" t="s">
        <v>240</v>
      </c>
      <c r="F50" s="143" t="s">
        <v>199</v>
      </c>
      <c r="G50" s="143" t="s">
        <v>199</v>
      </c>
      <c r="H50" s="143">
        <v>2</v>
      </c>
      <c r="I50" s="533" t="s">
        <v>199</v>
      </c>
      <c r="J50" s="172" t="s">
        <v>199</v>
      </c>
      <c r="K50" s="172"/>
      <c r="L50" s="172">
        <v>2</v>
      </c>
      <c r="M50" s="173" t="s">
        <v>245</v>
      </c>
    </row>
    <row r="51" spans="2:14" ht="24" customHeight="1" thickBot="1" x14ac:dyDescent="0.25">
      <c r="B51" s="144" t="s">
        <v>189</v>
      </c>
      <c r="C51" s="971" t="s">
        <v>660</v>
      </c>
      <c r="D51" s="972"/>
      <c r="E51" s="972"/>
      <c r="F51" s="972"/>
      <c r="G51" s="972"/>
      <c r="H51" s="972"/>
      <c r="I51" s="972"/>
      <c r="J51" s="972"/>
      <c r="K51" s="972"/>
      <c r="L51" s="972"/>
      <c r="M51" s="973"/>
    </row>
    <row r="52" spans="2:14" ht="66" customHeight="1" thickBot="1" x14ac:dyDescent="0.4">
      <c r="B52" s="740" t="s">
        <v>194</v>
      </c>
      <c r="C52" s="988" t="s">
        <v>182</v>
      </c>
      <c r="D52" s="989"/>
      <c r="E52" s="515" t="s">
        <v>239</v>
      </c>
      <c r="F52" s="516">
        <v>52.1</v>
      </c>
      <c r="G52" s="516">
        <v>60</v>
      </c>
      <c r="H52" s="516">
        <v>64.7</v>
      </c>
      <c r="I52" s="536">
        <v>53.42</v>
      </c>
      <c r="J52" s="516">
        <v>53.44</v>
      </c>
      <c r="K52" s="516">
        <v>53.47</v>
      </c>
      <c r="L52" s="516">
        <v>53.53</v>
      </c>
      <c r="M52" s="517" t="s">
        <v>116</v>
      </c>
      <c r="N52" s="739"/>
    </row>
    <row r="53" spans="2:14" ht="182.25" customHeight="1" thickBot="1" x14ac:dyDescent="0.4">
      <c r="B53" s="144" t="s">
        <v>195</v>
      </c>
      <c r="C53" s="990" t="s">
        <v>887</v>
      </c>
      <c r="D53" s="991"/>
      <c r="E53" s="741" t="s">
        <v>241</v>
      </c>
      <c r="F53" s="154">
        <v>22560</v>
      </c>
      <c r="G53" s="154"/>
      <c r="H53" s="154">
        <v>22610</v>
      </c>
      <c r="I53" s="539">
        <v>28532</v>
      </c>
      <c r="J53" s="742">
        <v>28582</v>
      </c>
      <c r="K53" s="742">
        <v>28632</v>
      </c>
      <c r="L53" s="742">
        <v>28682</v>
      </c>
      <c r="M53" s="743" t="s">
        <v>246</v>
      </c>
      <c r="N53" s="739"/>
    </row>
    <row r="54" spans="2:14" ht="90" customHeight="1" thickBot="1" x14ac:dyDescent="0.25">
      <c r="B54" s="954" t="s">
        <v>173</v>
      </c>
      <c r="C54" s="985" t="s">
        <v>188</v>
      </c>
      <c r="D54" s="510" t="s">
        <v>221</v>
      </c>
      <c r="E54" s="518" t="s">
        <v>241</v>
      </c>
      <c r="F54" s="506" t="s">
        <v>512</v>
      </c>
      <c r="G54" s="506" t="s">
        <v>513</v>
      </c>
      <c r="H54" s="506" t="s">
        <v>514</v>
      </c>
      <c r="I54" s="537" t="s">
        <v>515</v>
      </c>
      <c r="J54" s="506" t="s">
        <v>516</v>
      </c>
      <c r="K54" s="506" t="s">
        <v>516</v>
      </c>
      <c r="L54" s="506" t="s">
        <v>517</v>
      </c>
      <c r="M54" s="507" t="s">
        <v>192</v>
      </c>
    </row>
    <row r="55" spans="2:14" ht="137.25" customHeight="1" thickBot="1" x14ac:dyDescent="0.25">
      <c r="B55" s="955"/>
      <c r="C55" s="986"/>
      <c r="D55" s="520" t="s">
        <v>746</v>
      </c>
      <c r="E55" s="524" t="s">
        <v>240</v>
      </c>
      <c r="F55" s="524">
        <v>2183</v>
      </c>
      <c r="G55" s="524">
        <v>2343</v>
      </c>
      <c r="H55" s="524">
        <v>2343</v>
      </c>
      <c r="I55" s="538">
        <v>2455</v>
      </c>
      <c r="J55" s="524">
        <v>2475</v>
      </c>
      <c r="K55" s="154">
        <v>2475</v>
      </c>
      <c r="L55" s="154">
        <v>2475</v>
      </c>
      <c r="M55" s="155" t="s">
        <v>192</v>
      </c>
    </row>
    <row r="56" spans="2:14" ht="56.25" hidden="1" customHeight="1" thickBot="1" x14ac:dyDescent="0.25">
      <c r="B56" s="955"/>
      <c r="C56" s="986"/>
      <c r="D56" s="512" t="s">
        <v>254</v>
      </c>
      <c r="E56" s="519" t="s">
        <v>240</v>
      </c>
      <c r="F56" s="154">
        <v>1</v>
      </c>
      <c r="G56" s="154">
        <v>1</v>
      </c>
      <c r="H56" s="154">
        <v>1</v>
      </c>
      <c r="I56" s="539">
        <v>1</v>
      </c>
      <c r="J56" s="154">
        <v>1</v>
      </c>
      <c r="K56" s="154"/>
      <c r="L56" s="154">
        <v>1</v>
      </c>
      <c r="M56" s="155" t="s">
        <v>192</v>
      </c>
    </row>
    <row r="57" spans="2:14" ht="0.75" customHeight="1" thickBot="1" x14ac:dyDescent="0.25">
      <c r="B57" s="956"/>
      <c r="C57" s="987"/>
      <c r="D57" s="513" t="s">
        <v>527</v>
      </c>
      <c r="E57" s="521" t="s">
        <v>240</v>
      </c>
      <c r="F57" s="522" t="s">
        <v>199</v>
      </c>
      <c r="G57" s="522" t="s">
        <v>199</v>
      </c>
      <c r="H57" s="522">
        <v>1</v>
      </c>
      <c r="I57" s="540" t="s">
        <v>199</v>
      </c>
      <c r="J57" s="522" t="s">
        <v>199</v>
      </c>
      <c r="K57" s="522"/>
      <c r="L57" s="522">
        <v>1</v>
      </c>
      <c r="M57" s="523" t="s">
        <v>192</v>
      </c>
    </row>
    <row r="58" spans="2:14" ht="117.75" customHeight="1" thickBot="1" x14ac:dyDescent="0.25">
      <c r="B58" s="954" t="s">
        <v>174</v>
      </c>
      <c r="C58" s="985" t="s">
        <v>597</v>
      </c>
      <c r="D58" s="511" t="s">
        <v>652</v>
      </c>
      <c r="E58" s="519" t="s">
        <v>241</v>
      </c>
      <c r="F58" s="154">
        <f t="shared" ref="F58:L58" si="0">90+F59</f>
        <v>157</v>
      </c>
      <c r="G58" s="154">
        <f t="shared" si="0"/>
        <v>148</v>
      </c>
      <c r="H58" s="154">
        <f t="shared" si="0"/>
        <v>157</v>
      </c>
      <c r="I58" s="539">
        <f t="shared" si="0"/>
        <v>157</v>
      </c>
      <c r="J58" s="154">
        <f t="shared" si="0"/>
        <v>157</v>
      </c>
      <c r="K58" s="154">
        <f t="shared" si="0"/>
        <v>157</v>
      </c>
      <c r="L58" s="154">
        <f t="shared" si="0"/>
        <v>157</v>
      </c>
      <c r="M58" s="155" t="s">
        <v>246</v>
      </c>
    </row>
    <row r="59" spans="2:14" ht="151.5" hidden="1" customHeight="1" x14ac:dyDescent="0.2">
      <c r="B59" s="955"/>
      <c r="C59" s="986"/>
      <c r="D59" s="512" t="s">
        <v>219</v>
      </c>
      <c r="E59" s="156" t="s">
        <v>241</v>
      </c>
      <c r="F59" s="146">
        <v>67</v>
      </c>
      <c r="G59" s="146">
        <v>58</v>
      </c>
      <c r="H59" s="146">
        <v>67</v>
      </c>
      <c r="I59" s="529">
        <v>67</v>
      </c>
      <c r="J59" s="146">
        <v>67</v>
      </c>
      <c r="K59" s="146">
        <v>67</v>
      </c>
      <c r="L59" s="146">
        <v>67</v>
      </c>
      <c r="M59" s="166" t="s">
        <v>246</v>
      </c>
    </row>
    <row r="60" spans="2:14" ht="105.75" customHeight="1" thickBot="1" x14ac:dyDescent="0.25">
      <c r="B60" s="955"/>
      <c r="C60" s="986"/>
      <c r="D60" s="513" t="s">
        <v>653</v>
      </c>
      <c r="E60" s="508" t="s">
        <v>240</v>
      </c>
      <c r="F60" s="143">
        <f>6+F61</f>
        <v>10</v>
      </c>
      <c r="G60" s="143">
        <f>6+G61</f>
        <v>10</v>
      </c>
      <c r="H60" s="143">
        <f>3+H61</f>
        <v>5</v>
      </c>
      <c r="I60" s="535">
        <f>3+I61</f>
        <v>5</v>
      </c>
      <c r="J60" s="143">
        <f>3+J61</f>
        <v>5</v>
      </c>
      <c r="K60" s="143">
        <f>3+K61</f>
        <v>5</v>
      </c>
      <c r="L60" s="143">
        <f>3+L61</f>
        <v>5</v>
      </c>
      <c r="M60" s="173" t="s">
        <v>192</v>
      </c>
    </row>
    <row r="61" spans="2:14" ht="60.75" hidden="1" customHeight="1" x14ac:dyDescent="0.2">
      <c r="B61" s="955"/>
      <c r="C61" s="986"/>
      <c r="D61" s="514" t="s">
        <v>217</v>
      </c>
      <c r="E61" s="156" t="s">
        <v>240</v>
      </c>
      <c r="F61" s="146">
        <v>4</v>
      </c>
      <c r="G61" s="146">
        <v>4</v>
      </c>
      <c r="H61" s="146">
        <v>2</v>
      </c>
      <c r="I61" s="529">
        <v>2</v>
      </c>
      <c r="J61" s="146">
        <v>2</v>
      </c>
      <c r="K61" s="146">
        <v>2</v>
      </c>
      <c r="L61" s="146">
        <v>2</v>
      </c>
      <c r="M61" s="166" t="s">
        <v>192</v>
      </c>
    </row>
    <row r="62" spans="2:14" ht="99" customHeight="1" thickBot="1" x14ac:dyDescent="0.25">
      <c r="B62" s="955"/>
      <c r="C62" s="986"/>
      <c r="D62" s="513" t="s">
        <v>654</v>
      </c>
      <c r="E62" s="157" t="s">
        <v>240</v>
      </c>
      <c r="F62" s="142">
        <v>24</v>
      </c>
      <c r="G62" s="142">
        <v>24</v>
      </c>
      <c r="H62" s="142">
        <f>8+H63</f>
        <v>24</v>
      </c>
      <c r="I62" s="530">
        <v>24</v>
      </c>
      <c r="J62" s="142">
        <v>24</v>
      </c>
      <c r="K62" s="142">
        <v>24</v>
      </c>
      <c r="L62" s="142">
        <v>24</v>
      </c>
      <c r="M62" s="168" t="s">
        <v>192</v>
      </c>
    </row>
    <row r="63" spans="2:14" ht="60.75" hidden="1" customHeight="1" thickBot="1" x14ac:dyDescent="0.25">
      <c r="B63" s="956"/>
      <c r="C63" s="959"/>
      <c r="D63" s="509" t="s">
        <v>259</v>
      </c>
      <c r="E63" s="143" t="s">
        <v>240</v>
      </c>
      <c r="F63" s="143">
        <v>26</v>
      </c>
      <c r="G63" s="143">
        <v>18</v>
      </c>
      <c r="H63" s="143">
        <v>16</v>
      </c>
      <c r="I63" s="535">
        <v>18</v>
      </c>
      <c r="J63" s="143">
        <v>18</v>
      </c>
      <c r="K63" s="143">
        <v>18</v>
      </c>
      <c r="L63" s="143">
        <v>18</v>
      </c>
      <c r="M63" s="173" t="s">
        <v>192</v>
      </c>
    </row>
    <row r="64" spans="2:14" ht="87.75" hidden="1" customHeight="1" thickBot="1" x14ac:dyDescent="0.25">
      <c r="B64" s="144" t="s">
        <v>576</v>
      </c>
      <c r="C64" s="152" t="s">
        <v>603</v>
      </c>
      <c r="D64" s="153" t="s">
        <v>580</v>
      </c>
      <c r="E64" s="154" t="s">
        <v>240</v>
      </c>
      <c r="F64" s="154">
        <v>0</v>
      </c>
      <c r="G64" s="154">
        <v>0</v>
      </c>
      <c r="H64" s="154">
        <v>2</v>
      </c>
      <c r="I64" s="539">
        <v>0</v>
      </c>
      <c r="J64" s="154">
        <v>0</v>
      </c>
      <c r="K64" s="154">
        <v>0</v>
      </c>
      <c r="L64" s="154">
        <v>2</v>
      </c>
      <c r="M64" s="155" t="s">
        <v>577</v>
      </c>
    </row>
  </sheetData>
  <mergeCells count="26">
    <mergeCell ref="C8:M8"/>
    <mergeCell ref="C10:D10"/>
    <mergeCell ref="C9:D9"/>
    <mergeCell ref="C11:D11"/>
    <mergeCell ref="M17:M21"/>
    <mergeCell ref="C12:D12"/>
    <mergeCell ref="C13:D13"/>
    <mergeCell ref="C14:D14"/>
    <mergeCell ref="C15:D15"/>
    <mergeCell ref="C16:D16"/>
    <mergeCell ref="B58:B63"/>
    <mergeCell ref="B17:B21"/>
    <mergeCell ref="C17:C21"/>
    <mergeCell ref="C58:C63"/>
    <mergeCell ref="C54:C57"/>
    <mergeCell ref="B54:B57"/>
    <mergeCell ref="C52:D52"/>
    <mergeCell ref="B22:B44"/>
    <mergeCell ref="C22:C44"/>
    <mergeCell ref="C53:D53"/>
    <mergeCell ref="N23:N27"/>
    <mergeCell ref="B45:B50"/>
    <mergeCell ref="M22:M25"/>
    <mergeCell ref="C51:M51"/>
    <mergeCell ref="M45:M47"/>
    <mergeCell ref="C45:C50"/>
  </mergeCells>
  <printOptions horizontalCentered="1"/>
  <pageMargins left="0.59055118110236227" right="0.59055118110236227" top="0.59055118110236227" bottom="0.59055118110236227" header="0.31496062992125984" footer="0.31496062992125984"/>
  <pageSetup paperSize="9" scale="59" firstPageNumber="15" fitToHeight="0" orientation="landscape" useFirstPageNumber="1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-0.249977111117893"/>
    <pageSetUpPr fitToPage="1"/>
  </sheetPr>
  <dimension ref="A1:R78"/>
  <sheetViews>
    <sheetView zoomScale="90" zoomScaleNormal="90" workbookViewId="0">
      <selection activeCell="E2" sqref="E2:G9"/>
    </sheetView>
  </sheetViews>
  <sheetFormatPr defaultRowHeight="12.75" x14ac:dyDescent="0.2"/>
  <cols>
    <col min="1" max="1" width="13.28515625" customWidth="1"/>
    <col min="2" max="2" width="35.7109375" customWidth="1"/>
    <col min="3" max="3" width="19.85546875" customWidth="1"/>
    <col min="4" max="4" width="15.28515625" customWidth="1"/>
    <col min="5" max="7" width="12.42578125" customWidth="1"/>
    <col min="8" max="8" width="13.42578125" customWidth="1"/>
    <col min="9" max="9" width="13" customWidth="1"/>
    <col min="10" max="10" width="11.42578125" customWidth="1"/>
    <col min="11" max="12" width="9.140625" customWidth="1"/>
    <col min="13" max="13" width="12.5703125" customWidth="1"/>
    <col min="14" max="14" width="13.42578125" customWidth="1"/>
    <col min="15" max="15" width="13.140625" customWidth="1"/>
    <col min="16" max="16" width="16.85546875" customWidth="1"/>
    <col min="17" max="17" width="14.42578125" customWidth="1"/>
    <col min="18" max="18" width="16.5703125" customWidth="1"/>
  </cols>
  <sheetData>
    <row r="1" spans="1:17" ht="18.75" x14ac:dyDescent="0.2">
      <c r="A1" s="31"/>
      <c r="B1" s="31"/>
      <c r="C1" s="31"/>
      <c r="D1" s="31"/>
      <c r="G1" s="31"/>
    </row>
    <row r="2" spans="1:17" ht="18.75" x14ac:dyDescent="0.25">
      <c r="A2" s="31"/>
      <c r="B2" s="31"/>
      <c r="C2" s="31"/>
      <c r="D2" s="31"/>
      <c r="E2" s="112" t="s">
        <v>507</v>
      </c>
      <c r="F2" s="113"/>
      <c r="G2" s="113"/>
    </row>
    <row r="3" spans="1:17" ht="18.75" x14ac:dyDescent="0.25">
      <c r="A3" s="31"/>
      <c r="B3" s="31"/>
      <c r="C3" s="31"/>
      <c r="D3" s="31"/>
      <c r="E3" s="112" t="s">
        <v>600</v>
      </c>
      <c r="F3" s="113"/>
      <c r="G3" s="113"/>
    </row>
    <row r="4" spans="1:17" ht="18.75" x14ac:dyDescent="0.25">
      <c r="A4" s="31"/>
      <c r="B4" s="31"/>
      <c r="C4" s="31"/>
      <c r="D4" s="31"/>
      <c r="E4" s="112" t="s">
        <v>601</v>
      </c>
      <c r="F4" s="113"/>
      <c r="G4" s="113"/>
    </row>
    <row r="5" spans="1:17" ht="18.75" x14ac:dyDescent="0.25">
      <c r="A5" s="31"/>
      <c r="B5" s="31"/>
      <c r="C5" s="31"/>
      <c r="D5" s="31"/>
      <c r="E5" s="112" t="s">
        <v>500</v>
      </c>
      <c r="F5" s="113"/>
      <c r="G5" s="113"/>
    </row>
    <row r="6" spans="1:17" ht="18.75" x14ac:dyDescent="0.25">
      <c r="A6" s="31"/>
      <c r="B6" s="31"/>
      <c r="C6" s="31"/>
      <c r="D6" s="31"/>
      <c r="E6" s="112" t="s">
        <v>602</v>
      </c>
      <c r="F6" s="113"/>
      <c r="G6" s="113"/>
    </row>
    <row r="7" spans="1:17" ht="18.75" x14ac:dyDescent="0.25">
      <c r="A7" s="31"/>
      <c r="B7" s="31"/>
      <c r="C7" s="31"/>
      <c r="D7" s="31"/>
      <c r="E7" s="112"/>
      <c r="F7" s="113"/>
      <c r="G7" s="113"/>
    </row>
    <row r="8" spans="1:17" ht="18.75" x14ac:dyDescent="0.25">
      <c r="A8" s="31"/>
      <c r="B8" s="31"/>
      <c r="C8" s="31"/>
      <c r="D8" s="31"/>
      <c r="E8" s="112" t="s">
        <v>507</v>
      </c>
      <c r="F8" s="114"/>
      <c r="G8" s="113"/>
    </row>
    <row r="9" spans="1:17" ht="18.75" x14ac:dyDescent="0.2">
      <c r="A9" s="31"/>
      <c r="B9" s="31"/>
      <c r="C9" s="31"/>
      <c r="D9" s="31"/>
      <c r="E9" s="112" t="s">
        <v>508</v>
      </c>
      <c r="F9" s="114"/>
      <c r="G9" s="31"/>
    </row>
    <row r="10" spans="1:17" ht="18.75" x14ac:dyDescent="0.2">
      <c r="A10" s="1006" t="s">
        <v>145</v>
      </c>
      <c r="B10" s="1006"/>
      <c r="C10" s="1006"/>
      <c r="D10" s="1006"/>
      <c r="E10" s="1006"/>
      <c r="F10" s="1006"/>
      <c r="G10" s="1006"/>
    </row>
    <row r="11" spans="1:17" ht="18.75" x14ac:dyDescent="0.2">
      <c r="A11" s="31" t="s">
        <v>146</v>
      </c>
      <c r="B11" s="31"/>
      <c r="C11" s="31"/>
      <c r="D11" s="31"/>
      <c r="E11" s="31"/>
      <c r="F11" s="31"/>
      <c r="G11" s="31"/>
    </row>
    <row r="13" spans="1:17" ht="15.6" customHeight="1" x14ac:dyDescent="0.2">
      <c r="A13" s="1007" t="s">
        <v>140</v>
      </c>
      <c r="B13" s="1007" t="s">
        <v>121</v>
      </c>
      <c r="C13" s="1007" t="s">
        <v>141</v>
      </c>
      <c r="D13" s="312" t="s">
        <v>142</v>
      </c>
      <c r="E13" s="311"/>
      <c r="F13" s="311"/>
      <c r="G13" s="310"/>
    </row>
    <row r="14" spans="1:17" ht="47.25" x14ac:dyDescent="0.2">
      <c r="A14" s="1007"/>
      <c r="B14" s="1007"/>
      <c r="C14" s="1007"/>
      <c r="D14" s="25" t="s">
        <v>143</v>
      </c>
      <c r="E14" s="25">
        <v>2021</v>
      </c>
      <c r="F14" s="25">
        <v>2022</v>
      </c>
      <c r="G14" s="25">
        <v>2023</v>
      </c>
      <c r="P14" s="47"/>
    </row>
    <row r="15" spans="1:17" ht="15.75" x14ac:dyDescent="0.25">
      <c r="A15" s="324">
        <v>1</v>
      </c>
      <c r="B15" s="324">
        <v>2</v>
      </c>
      <c r="C15" s="324">
        <v>3</v>
      </c>
      <c r="D15" s="324">
        <v>4</v>
      </c>
      <c r="E15" s="324">
        <v>5</v>
      </c>
      <c r="F15" s="324">
        <v>6</v>
      </c>
      <c r="G15" s="324">
        <v>7</v>
      </c>
      <c r="H15" s="400">
        <v>655257.35192000004</v>
      </c>
      <c r="I15" s="400">
        <v>507546.64</v>
      </c>
      <c r="J15" s="400">
        <v>429261.66700000002</v>
      </c>
    </row>
    <row r="16" spans="1:17" ht="15.75" x14ac:dyDescent="0.25">
      <c r="A16" s="1000" t="s">
        <v>144</v>
      </c>
      <c r="B16" s="1001"/>
      <c r="C16" s="118" t="s">
        <v>122</v>
      </c>
      <c r="D16" s="325">
        <v>0</v>
      </c>
      <c r="E16" s="326">
        <f>E17+E18</f>
        <v>655257.34499999997</v>
      </c>
      <c r="F16" s="327">
        <f>F17+F18</f>
        <v>507546.636</v>
      </c>
      <c r="G16" s="327">
        <f>G17+G18</f>
        <v>429261.66499999998</v>
      </c>
      <c r="H16" s="47"/>
      <c r="M16" s="309"/>
      <c r="P16" s="137"/>
      <c r="Q16" s="47"/>
    </row>
    <row r="17" spans="1:18" ht="15.75" x14ac:dyDescent="0.25">
      <c r="A17" s="1002"/>
      <c r="B17" s="1003"/>
      <c r="C17" s="118" t="s">
        <v>123</v>
      </c>
      <c r="D17" s="325">
        <v>0</v>
      </c>
      <c r="E17" s="328">
        <f t="shared" ref="E17:G18" si="0">E20+E23+E26+E29+E32+E35</f>
        <v>31989.476999999999</v>
      </c>
      <c r="F17" s="325">
        <f t="shared" si="0"/>
        <v>4375</v>
      </c>
      <c r="G17" s="325">
        <f t="shared" si="0"/>
        <v>4375</v>
      </c>
      <c r="H17" s="47"/>
      <c r="I17" s="47"/>
      <c r="J17" s="47"/>
      <c r="P17" s="47"/>
      <c r="Q17" s="47"/>
      <c r="R17" s="47"/>
    </row>
    <row r="18" spans="1:18" ht="15.75" x14ac:dyDescent="0.25">
      <c r="A18" s="1004"/>
      <c r="B18" s="1005"/>
      <c r="C18" s="118" t="s">
        <v>124</v>
      </c>
      <c r="D18" s="325">
        <v>0</v>
      </c>
      <c r="E18" s="328">
        <f t="shared" si="0"/>
        <v>623267.86800000002</v>
      </c>
      <c r="F18" s="325">
        <f t="shared" si="0"/>
        <v>503171.636</v>
      </c>
      <c r="G18" s="325">
        <f t="shared" si="0"/>
        <v>424886.66499999998</v>
      </c>
      <c r="Q18" s="47"/>
    </row>
    <row r="19" spans="1:18" ht="26.25" customHeight="1" x14ac:dyDescent="0.25">
      <c r="A19" s="999" t="s">
        <v>63</v>
      </c>
      <c r="B19" s="992" t="s">
        <v>583</v>
      </c>
      <c r="C19" s="118" t="s">
        <v>122</v>
      </c>
      <c r="D19" s="325">
        <v>0</v>
      </c>
      <c r="E19" s="326">
        <f>E20+E21</f>
        <v>20068.741000000002</v>
      </c>
      <c r="F19" s="327">
        <f>F20+F21</f>
        <v>15423.33</v>
      </c>
      <c r="G19" s="327">
        <f>G20+G21</f>
        <v>15423.33</v>
      </c>
      <c r="I19" s="47"/>
    </row>
    <row r="20" spans="1:18" ht="26.25" customHeight="1" x14ac:dyDescent="0.25">
      <c r="A20" s="999"/>
      <c r="B20" s="992"/>
      <c r="C20" s="118" t="s">
        <v>123</v>
      </c>
      <c r="D20" s="325">
        <v>0</v>
      </c>
      <c r="E20" s="328">
        <v>0</v>
      </c>
      <c r="F20" s="325">
        <v>0</v>
      </c>
      <c r="G20" s="325">
        <v>0</v>
      </c>
    </row>
    <row r="21" spans="1:18" ht="25.5" customHeight="1" x14ac:dyDescent="0.25">
      <c r="A21" s="999"/>
      <c r="B21" s="992"/>
      <c r="C21" s="118" t="s">
        <v>124</v>
      </c>
      <c r="D21" s="325">
        <v>0</v>
      </c>
      <c r="E21" s="328">
        <f>E40</f>
        <v>20068.741000000002</v>
      </c>
      <c r="F21" s="325">
        <f>F40</f>
        <v>15423.33</v>
      </c>
      <c r="G21" s="325">
        <f>G40</f>
        <v>15423.33</v>
      </c>
    </row>
    <row r="22" spans="1:18" ht="30.75" customHeight="1" x14ac:dyDescent="0.25">
      <c r="A22" s="999" t="s">
        <v>64</v>
      </c>
      <c r="B22" s="992" t="s">
        <v>175</v>
      </c>
      <c r="C22" s="118" t="s">
        <v>122</v>
      </c>
      <c r="D22" s="325">
        <v>0</v>
      </c>
      <c r="E22" s="326">
        <f>E23+E24</f>
        <v>251853.23800000001</v>
      </c>
      <c r="F22" s="327">
        <f>F23+F24</f>
        <v>241594.40299999999</v>
      </c>
      <c r="G22" s="327">
        <f>G23+G24</f>
        <v>161555.51</v>
      </c>
    </row>
    <row r="23" spans="1:18" ht="29.25" customHeight="1" x14ac:dyDescent="0.25">
      <c r="A23" s="999"/>
      <c r="B23" s="992"/>
      <c r="C23" s="118" t="s">
        <v>123</v>
      </c>
      <c r="D23" s="325">
        <v>0</v>
      </c>
      <c r="E23" s="328">
        <v>0</v>
      </c>
      <c r="F23" s="325">
        <v>0</v>
      </c>
      <c r="G23" s="325">
        <v>0</v>
      </c>
    </row>
    <row r="24" spans="1:18" ht="21" customHeight="1" x14ac:dyDescent="0.25">
      <c r="A24" s="999"/>
      <c r="B24" s="992"/>
      <c r="C24" s="118" t="s">
        <v>124</v>
      </c>
      <c r="D24" s="325">
        <v>0</v>
      </c>
      <c r="E24" s="328">
        <f>E45</f>
        <v>251853.23800000001</v>
      </c>
      <c r="F24" s="325">
        <f>F45</f>
        <v>241594.40299999999</v>
      </c>
      <c r="G24" s="325">
        <f>G45</f>
        <v>161555.51</v>
      </c>
    </row>
    <row r="25" spans="1:18" ht="15.75" x14ac:dyDescent="0.25">
      <c r="A25" s="999" t="s">
        <v>172</v>
      </c>
      <c r="B25" s="992" t="s">
        <v>176</v>
      </c>
      <c r="C25" s="118" t="s">
        <v>122</v>
      </c>
      <c r="D25" s="325">
        <v>0</v>
      </c>
      <c r="E25" s="326">
        <f>E26+E27</f>
        <v>214893.18000000002</v>
      </c>
      <c r="F25" s="327">
        <f>F26+F27</f>
        <v>161538.97200000001</v>
      </c>
      <c r="G25" s="327">
        <f>G26+G27</f>
        <v>169398.37</v>
      </c>
      <c r="K25" s="47"/>
    </row>
    <row r="26" spans="1:18" ht="15.75" x14ac:dyDescent="0.25">
      <c r="A26" s="999"/>
      <c r="B26" s="992"/>
      <c r="C26" s="118" t="s">
        <v>123</v>
      </c>
      <c r="D26" s="325">
        <v>0</v>
      </c>
      <c r="E26" s="328">
        <f>E47</f>
        <v>4375</v>
      </c>
      <c r="F26" s="325">
        <f>F47</f>
        <v>4375</v>
      </c>
      <c r="G26" s="325">
        <f>G47</f>
        <v>4375</v>
      </c>
      <c r="H26" s="47"/>
      <c r="I26" s="47"/>
      <c r="J26" s="47"/>
    </row>
    <row r="27" spans="1:18" ht="15.75" x14ac:dyDescent="0.25">
      <c r="A27" s="999"/>
      <c r="B27" s="992"/>
      <c r="C27" s="118" t="s">
        <v>124</v>
      </c>
      <c r="D27" s="325">
        <v>0</v>
      </c>
      <c r="E27" s="328">
        <f>E48+E72</f>
        <v>210518.18000000002</v>
      </c>
      <c r="F27" s="325">
        <f>F48+F72</f>
        <v>157163.97200000001</v>
      </c>
      <c r="G27" s="325">
        <f>G48+G72</f>
        <v>165023.37</v>
      </c>
      <c r="H27" s="47"/>
    </row>
    <row r="28" spans="1:18" ht="68.25" customHeight="1" x14ac:dyDescent="0.25">
      <c r="A28" s="996" t="s">
        <v>173</v>
      </c>
      <c r="B28" s="992" t="s">
        <v>177</v>
      </c>
      <c r="C28" s="118" t="s">
        <v>122</v>
      </c>
      <c r="D28" s="325">
        <v>0</v>
      </c>
      <c r="E28" s="326">
        <f>E29+E30</f>
        <v>124134.39599999999</v>
      </c>
      <c r="F28" s="327">
        <f>F29+F30</f>
        <v>80703.531000000003</v>
      </c>
      <c r="G28" s="327">
        <f>G29+G30</f>
        <v>74598.054999999993</v>
      </c>
    </row>
    <row r="29" spans="1:18" ht="15.75" x14ac:dyDescent="0.25">
      <c r="A29" s="997"/>
      <c r="B29" s="992"/>
      <c r="C29" s="118" t="s">
        <v>123</v>
      </c>
      <c r="D29" s="325">
        <v>0</v>
      </c>
      <c r="E29" s="328">
        <f>E50+E77</f>
        <v>2614.4769999999999</v>
      </c>
      <c r="F29" s="325">
        <v>0</v>
      </c>
      <c r="G29" s="325">
        <v>0</v>
      </c>
    </row>
    <row r="30" spans="1:18" ht="15.75" x14ac:dyDescent="0.25">
      <c r="A30" s="998"/>
      <c r="B30" s="992"/>
      <c r="C30" s="118" t="s">
        <v>124</v>
      </c>
      <c r="D30" s="325">
        <v>0</v>
      </c>
      <c r="E30" s="328">
        <f>E51+161+E60</f>
        <v>121519.91899999999</v>
      </c>
      <c r="F30" s="325">
        <f>F51+F78+F60</f>
        <v>80703.531000000003</v>
      </c>
      <c r="G30" s="325">
        <f>G51+G78</f>
        <v>74598.054999999993</v>
      </c>
    </row>
    <row r="31" spans="1:18" ht="69.75" customHeight="1" x14ac:dyDescent="0.25">
      <c r="A31" s="999" t="s">
        <v>174</v>
      </c>
      <c r="B31" s="992" t="s">
        <v>597</v>
      </c>
      <c r="C31" s="118" t="s">
        <v>122</v>
      </c>
      <c r="D31" s="325">
        <v>0</v>
      </c>
      <c r="E31" s="326">
        <f>E32+E33</f>
        <v>8180.8</v>
      </c>
      <c r="F31" s="327">
        <f>F32+F33</f>
        <v>8286.4</v>
      </c>
      <c r="G31" s="327">
        <f>G32+G33</f>
        <v>8286.4</v>
      </c>
    </row>
    <row r="32" spans="1:18" ht="15.75" x14ac:dyDescent="0.25">
      <c r="A32" s="999"/>
      <c r="B32" s="992"/>
      <c r="C32" s="118" t="s">
        <v>123</v>
      </c>
      <c r="D32" s="325">
        <v>0</v>
      </c>
      <c r="E32" s="328">
        <v>0</v>
      </c>
      <c r="F32" s="325">
        <v>0</v>
      </c>
      <c r="G32" s="325">
        <v>0</v>
      </c>
    </row>
    <row r="33" spans="1:16" ht="15.75" x14ac:dyDescent="0.25">
      <c r="A33" s="999"/>
      <c r="B33" s="992"/>
      <c r="C33" s="118" t="s">
        <v>124</v>
      </c>
      <c r="D33" s="325">
        <v>0</v>
      </c>
      <c r="E33" s="328">
        <f>E54+E63</f>
        <v>8180.8</v>
      </c>
      <c r="F33" s="325">
        <f>F54+F63</f>
        <v>8286.4</v>
      </c>
      <c r="G33" s="325">
        <f>G54+G63</f>
        <v>8286.4</v>
      </c>
      <c r="H33" s="47"/>
    </row>
    <row r="34" spans="1:16" ht="15.75" x14ac:dyDescent="0.25">
      <c r="A34" s="999" t="s">
        <v>576</v>
      </c>
      <c r="B34" s="992" t="s">
        <v>609</v>
      </c>
      <c r="C34" s="118" t="s">
        <v>122</v>
      </c>
      <c r="D34" s="325">
        <v>0</v>
      </c>
      <c r="E34" s="326">
        <f>E35+E36</f>
        <v>36126.99</v>
      </c>
      <c r="F34" s="327">
        <f>F35+F36</f>
        <v>0</v>
      </c>
      <c r="G34" s="327">
        <f>G35+G36</f>
        <v>0</v>
      </c>
      <c r="H34" s="47"/>
    </row>
    <row r="35" spans="1:16" ht="15.75" x14ac:dyDescent="0.25">
      <c r="A35" s="999"/>
      <c r="B35" s="992"/>
      <c r="C35" s="118" t="s">
        <v>123</v>
      </c>
      <c r="D35" s="325">
        <v>0</v>
      </c>
      <c r="E35" s="328">
        <f t="shared" ref="E35:G36" si="1">E65</f>
        <v>25000</v>
      </c>
      <c r="F35" s="325">
        <f t="shared" si="1"/>
        <v>0</v>
      </c>
      <c r="G35" s="325">
        <f t="shared" si="1"/>
        <v>0</v>
      </c>
      <c r="H35" s="47"/>
    </row>
    <row r="36" spans="1:16" ht="15.75" x14ac:dyDescent="0.25">
      <c r="A36" s="999"/>
      <c r="B36" s="992"/>
      <c r="C36" s="118" t="s">
        <v>124</v>
      </c>
      <c r="D36" s="325">
        <v>0</v>
      </c>
      <c r="E36" s="328">
        <f t="shared" si="1"/>
        <v>11126.99</v>
      </c>
      <c r="F36" s="325">
        <f t="shared" si="1"/>
        <v>0</v>
      </c>
      <c r="G36" s="325">
        <f t="shared" si="1"/>
        <v>0</v>
      </c>
      <c r="H36" s="47"/>
    </row>
    <row r="37" spans="1:16" ht="15" customHeight="1" x14ac:dyDescent="0.25">
      <c r="A37" s="1000" t="s">
        <v>178</v>
      </c>
      <c r="B37" s="1001"/>
      <c r="C37" s="118" t="s">
        <v>122</v>
      </c>
      <c r="D37" s="325">
        <v>0</v>
      </c>
      <c r="E37" s="326">
        <f t="shared" ref="E37:G39" si="2">E40+E43+E46+E49+E52</f>
        <v>606055.31799999997</v>
      </c>
      <c r="F37" s="327">
        <f t="shared" si="2"/>
        <v>507388.23599999998</v>
      </c>
      <c r="G37" s="326">
        <f t="shared" si="2"/>
        <v>426493.86499999999</v>
      </c>
      <c r="I37" s="47"/>
    </row>
    <row r="38" spans="1:16" ht="15.75" x14ac:dyDescent="0.25">
      <c r="A38" s="1002"/>
      <c r="B38" s="1003"/>
      <c r="C38" s="118" t="s">
        <v>123</v>
      </c>
      <c r="D38" s="325">
        <v>0</v>
      </c>
      <c r="E38" s="328">
        <f t="shared" si="2"/>
        <v>4375</v>
      </c>
      <c r="F38" s="325">
        <f t="shared" si="2"/>
        <v>4375</v>
      </c>
      <c r="G38" s="328">
        <f t="shared" si="2"/>
        <v>4375</v>
      </c>
    </row>
    <row r="39" spans="1:16" ht="15.75" x14ac:dyDescent="0.25">
      <c r="A39" s="1004"/>
      <c r="B39" s="1005"/>
      <c r="C39" s="118" t="s">
        <v>124</v>
      </c>
      <c r="D39" s="325">
        <v>0</v>
      </c>
      <c r="E39" s="328">
        <f t="shared" si="2"/>
        <v>601680.31799999997</v>
      </c>
      <c r="F39" s="325">
        <f t="shared" si="2"/>
        <v>503013.23599999998</v>
      </c>
      <c r="G39" s="328">
        <f t="shared" si="2"/>
        <v>422118.86499999999</v>
      </c>
      <c r="I39" s="47"/>
    </row>
    <row r="40" spans="1:16" ht="15.75" x14ac:dyDescent="0.25">
      <c r="A40" s="999" t="s">
        <v>63</v>
      </c>
      <c r="B40" s="992" t="s">
        <v>583</v>
      </c>
      <c r="C40" s="118" t="s">
        <v>122</v>
      </c>
      <c r="D40" s="325">
        <v>0</v>
      </c>
      <c r="E40" s="326">
        <f>E41+E42</f>
        <v>20068.741000000002</v>
      </c>
      <c r="F40" s="327">
        <f>F41+F42</f>
        <v>15423.33</v>
      </c>
      <c r="G40" s="326">
        <f>G41+G42</f>
        <v>15423.33</v>
      </c>
    </row>
    <row r="41" spans="1:16" ht="27" customHeight="1" x14ac:dyDescent="0.25">
      <c r="A41" s="999"/>
      <c r="B41" s="992"/>
      <c r="C41" s="118" t="s">
        <v>123</v>
      </c>
      <c r="D41" s="325">
        <v>0</v>
      </c>
      <c r="E41" s="328">
        <v>0</v>
      </c>
      <c r="F41" s="325">
        <v>0</v>
      </c>
      <c r="G41" s="328">
        <v>0</v>
      </c>
    </row>
    <row r="42" spans="1:16" ht="38.25" customHeight="1" x14ac:dyDescent="0.25">
      <c r="A42" s="999"/>
      <c r="B42" s="992"/>
      <c r="C42" s="118" t="s">
        <v>124</v>
      </c>
      <c r="D42" s="325">
        <v>0</v>
      </c>
      <c r="E42" s="328">
        <v>20068.741000000002</v>
      </c>
      <c r="F42" s="325">
        <v>15423.33</v>
      </c>
      <c r="G42" s="325">
        <v>15423.33</v>
      </c>
    </row>
    <row r="43" spans="1:16" ht="15.75" x14ac:dyDescent="0.25">
      <c r="A43" s="999" t="s">
        <v>64</v>
      </c>
      <c r="B43" s="992" t="s">
        <v>175</v>
      </c>
      <c r="C43" s="118" t="s">
        <v>122</v>
      </c>
      <c r="D43" s="325">
        <v>0</v>
      </c>
      <c r="E43" s="326">
        <f>E44+E45</f>
        <v>251853.23800000001</v>
      </c>
      <c r="F43" s="327">
        <f>F44+F45</f>
        <v>241594.40299999999</v>
      </c>
      <c r="G43" s="327">
        <f>G44+G45</f>
        <v>161555.51</v>
      </c>
    </row>
    <row r="44" spans="1:16" ht="15.75" x14ac:dyDescent="0.25">
      <c r="A44" s="999"/>
      <c r="B44" s="992"/>
      <c r="C44" s="118" t="s">
        <v>123</v>
      </c>
      <c r="D44" s="325">
        <v>0</v>
      </c>
      <c r="E44" s="328">
        <v>0</v>
      </c>
      <c r="F44" s="325">
        <v>0</v>
      </c>
      <c r="G44" s="325">
        <v>0</v>
      </c>
    </row>
    <row r="45" spans="1:16" ht="57.75" customHeight="1" x14ac:dyDescent="0.25">
      <c r="A45" s="999"/>
      <c r="B45" s="992"/>
      <c r="C45" s="118" t="s">
        <v>124</v>
      </c>
      <c r="D45" s="325">
        <v>0</v>
      </c>
      <c r="E45" s="328">
        <v>251853.23800000001</v>
      </c>
      <c r="F45" s="325">
        <v>241594.40299999999</v>
      </c>
      <c r="G45" s="325">
        <v>161555.51</v>
      </c>
    </row>
    <row r="46" spans="1:16" ht="15.75" x14ac:dyDescent="0.25">
      <c r="A46" s="999" t="s">
        <v>172</v>
      </c>
      <c r="B46" s="992" t="s">
        <v>176</v>
      </c>
      <c r="C46" s="118" t="s">
        <v>122</v>
      </c>
      <c r="D46" s="325">
        <v>0</v>
      </c>
      <c r="E46" s="326">
        <f>E47+E48</f>
        <v>205209.42</v>
      </c>
      <c r="F46" s="327">
        <f>F47+F48</f>
        <v>161538.97200000001</v>
      </c>
      <c r="G46" s="326">
        <f>G47+G48</f>
        <v>166788.97</v>
      </c>
      <c r="M46" s="308"/>
    </row>
    <row r="47" spans="1:16" ht="15.75" x14ac:dyDescent="0.25">
      <c r="A47" s="999"/>
      <c r="B47" s="992"/>
      <c r="C47" s="118" t="s">
        <v>123</v>
      </c>
      <c r="D47" s="325">
        <v>0</v>
      </c>
      <c r="E47" s="328">
        <v>4375</v>
      </c>
      <c r="F47" s="325">
        <v>4375</v>
      </c>
      <c r="G47" s="328">
        <v>4375</v>
      </c>
      <c r="H47" s="307"/>
      <c r="I47" s="47"/>
    </row>
    <row r="48" spans="1:16" ht="15.75" x14ac:dyDescent="0.25">
      <c r="A48" s="999"/>
      <c r="B48" s="992"/>
      <c r="C48" s="118" t="s">
        <v>124</v>
      </c>
      <c r="D48" s="325">
        <v>0</v>
      </c>
      <c r="E48" s="328">
        <v>200834.42</v>
      </c>
      <c r="F48" s="325">
        <v>157163.97200000001</v>
      </c>
      <c r="G48" s="328">
        <v>162413.97</v>
      </c>
      <c r="I48" s="47"/>
      <c r="P48" s="47"/>
    </row>
    <row r="49" spans="1:16" ht="15.75" x14ac:dyDescent="0.25">
      <c r="A49" s="996" t="s">
        <v>173</v>
      </c>
      <c r="B49" s="992" t="s">
        <v>177</v>
      </c>
      <c r="C49" s="118" t="s">
        <v>122</v>
      </c>
      <c r="D49" s="325">
        <v>0</v>
      </c>
      <c r="E49" s="326">
        <f>E50+E51</f>
        <v>120901.519</v>
      </c>
      <c r="F49" s="327">
        <f>F50+F51</f>
        <v>80703.531000000003</v>
      </c>
      <c r="G49" s="326">
        <f>G50+G51</f>
        <v>74598.054999999993</v>
      </c>
      <c r="O49" s="47"/>
    </row>
    <row r="50" spans="1:16" ht="15.75" x14ac:dyDescent="0.25">
      <c r="A50" s="997"/>
      <c r="B50" s="992"/>
      <c r="C50" s="118" t="s">
        <v>123</v>
      </c>
      <c r="D50" s="325">
        <v>0</v>
      </c>
      <c r="E50" s="328">
        <v>0</v>
      </c>
      <c r="F50" s="325">
        <v>0</v>
      </c>
      <c r="G50" s="328">
        <v>0</v>
      </c>
    </row>
    <row r="51" spans="1:16" ht="15.75" x14ac:dyDescent="0.25">
      <c r="A51" s="998"/>
      <c r="B51" s="992"/>
      <c r="C51" s="118" t="s">
        <v>124</v>
      </c>
      <c r="D51" s="325">
        <v>0</v>
      </c>
      <c r="E51" s="328">
        <f>124134.396-E60-E76</f>
        <v>120901.519</v>
      </c>
      <c r="F51" s="325">
        <v>80703.531000000003</v>
      </c>
      <c r="G51" s="325">
        <v>74598.054999999993</v>
      </c>
      <c r="H51" s="306"/>
    </row>
    <row r="52" spans="1:16" ht="15.75" x14ac:dyDescent="0.25">
      <c r="A52" s="999" t="s">
        <v>174</v>
      </c>
      <c r="B52" s="992" t="s">
        <v>597</v>
      </c>
      <c r="C52" s="118" t="s">
        <v>122</v>
      </c>
      <c r="D52" s="325">
        <v>0</v>
      </c>
      <c r="E52" s="326">
        <f>E53+E54</f>
        <v>8022.4000000000005</v>
      </c>
      <c r="F52" s="327">
        <f>F53+F54</f>
        <v>8128</v>
      </c>
      <c r="G52" s="327">
        <f>G53+G54</f>
        <v>8128</v>
      </c>
    </row>
    <row r="53" spans="1:16" ht="15.75" x14ac:dyDescent="0.25">
      <c r="A53" s="999"/>
      <c r="B53" s="992"/>
      <c r="C53" s="118" t="s">
        <v>123</v>
      </c>
      <c r="D53" s="325">
        <v>0</v>
      </c>
      <c r="E53" s="328">
        <v>0</v>
      </c>
      <c r="F53" s="325">
        <v>0</v>
      </c>
      <c r="G53" s="325">
        <v>0</v>
      </c>
    </row>
    <row r="54" spans="1:16" ht="66" customHeight="1" x14ac:dyDescent="0.25">
      <c r="A54" s="999"/>
      <c r="B54" s="992"/>
      <c r="C54" s="118" t="s">
        <v>124</v>
      </c>
      <c r="D54" s="325">
        <v>0</v>
      </c>
      <c r="E54" s="328">
        <f>8180.8-158.4</f>
        <v>8022.4000000000005</v>
      </c>
      <c r="F54" s="325">
        <f>8286.4-158.4</f>
        <v>8128</v>
      </c>
      <c r="G54" s="325">
        <f>8286.4-158.4</f>
        <v>8128</v>
      </c>
    </row>
    <row r="55" spans="1:16" ht="15.6" customHeight="1" x14ac:dyDescent="0.25">
      <c r="A55" s="1000" t="s">
        <v>179</v>
      </c>
      <c r="B55" s="1001"/>
      <c r="C55" s="118" t="s">
        <v>122</v>
      </c>
      <c r="D55" s="325">
        <v>0</v>
      </c>
      <c r="E55" s="326">
        <f>E56+E57</f>
        <v>36742.79</v>
      </c>
      <c r="F55" s="327">
        <f>F58+F61</f>
        <v>158.4</v>
      </c>
      <c r="G55" s="327">
        <f>G58+G61</f>
        <v>158.4</v>
      </c>
    </row>
    <row r="56" spans="1:16" ht="15.75" x14ac:dyDescent="0.25">
      <c r="A56" s="1002"/>
      <c r="B56" s="1003"/>
      <c r="C56" s="118" t="s">
        <v>123</v>
      </c>
      <c r="D56" s="325">
        <v>0</v>
      </c>
      <c r="E56" s="328">
        <f t="shared" ref="E56:G57" si="3">E59+E62+E65</f>
        <v>25000</v>
      </c>
      <c r="F56" s="325">
        <f t="shared" si="3"/>
        <v>0</v>
      </c>
      <c r="G56" s="325">
        <f t="shared" si="3"/>
        <v>0</v>
      </c>
    </row>
    <row r="57" spans="1:16" ht="15.75" x14ac:dyDescent="0.25">
      <c r="A57" s="1004"/>
      <c r="B57" s="1005"/>
      <c r="C57" s="118" t="s">
        <v>124</v>
      </c>
      <c r="D57" s="325">
        <v>0</v>
      </c>
      <c r="E57" s="328">
        <f t="shared" si="3"/>
        <v>11742.789999999999</v>
      </c>
      <c r="F57" s="325">
        <f t="shared" si="3"/>
        <v>158.4</v>
      </c>
      <c r="G57" s="325">
        <f t="shared" si="3"/>
        <v>158.4</v>
      </c>
    </row>
    <row r="58" spans="1:16" ht="15.75" x14ac:dyDescent="0.25">
      <c r="A58" s="996" t="s">
        <v>173</v>
      </c>
      <c r="B58" s="993" t="s">
        <v>177</v>
      </c>
      <c r="C58" s="118" t="s">
        <v>122</v>
      </c>
      <c r="D58" s="325">
        <v>0</v>
      </c>
      <c r="E58" s="326">
        <f>E59+E60</f>
        <v>457.4</v>
      </c>
      <c r="F58" s="327">
        <f>F59+F60</f>
        <v>0</v>
      </c>
      <c r="G58" s="327">
        <f>G59+G60</f>
        <v>0</v>
      </c>
    </row>
    <row r="59" spans="1:16" ht="15.75" x14ac:dyDescent="0.25">
      <c r="A59" s="997"/>
      <c r="B59" s="994"/>
      <c r="C59" s="118" t="s">
        <v>123</v>
      </c>
      <c r="D59" s="325">
        <v>0</v>
      </c>
      <c r="E59" s="328">
        <v>0</v>
      </c>
      <c r="F59" s="325">
        <v>0</v>
      </c>
      <c r="G59" s="325">
        <v>0</v>
      </c>
    </row>
    <row r="60" spans="1:16" ht="15.75" x14ac:dyDescent="0.25">
      <c r="A60" s="998"/>
      <c r="B60" s="995"/>
      <c r="C60" s="118" t="s">
        <v>124</v>
      </c>
      <c r="D60" s="325">
        <v>0</v>
      </c>
      <c r="E60" s="328">
        <v>457.4</v>
      </c>
      <c r="F60" s="325">
        <v>0</v>
      </c>
      <c r="G60" s="325">
        <v>0</v>
      </c>
    </row>
    <row r="61" spans="1:16" ht="15.75" x14ac:dyDescent="0.25">
      <c r="A61" s="996" t="s">
        <v>174</v>
      </c>
      <c r="B61" s="992" t="s">
        <v>597</v>
      </c>
      <c r="C61" s="118" t="s">
        <v>122</v>
      </c>
      <c r="D61" s="325">
        <v>0</v>
      </c>
      <c r="E61" s="326">
        <f>E62+E63</f>
        <v>158.4</v>
      </c>
      <c r="F61" s="327">
        <f>F62+F63</f>
        <v>158.4</v>
      </c>
      <c r="G61" s="327">
        <f>G62+G63</f>
        <v>158.4</v>
      </c>
      <c r="P61" s="47"/>
    </row>
    <row r="62" spans="1:16" ht="15.75" x14ac:dyDescent="0.25">
      <c r="A62" s="997"/>
      <c r="B62" s="992"/>
      <c r="C62" s="118" t="s">
        <v>123</v>
      </c>
      <c r="D62" s="325">
        <v>0</v>
      </c>
      <c r="E62" s="328">
        <v>0</v>
      </c>
      <c r="F62" s="325">
        <v>0</v>
      </c>
      <c r="G62" s="325">
        <v>0</v>
      </c>
    </row>
    <row r="63" spans="1:16" ht="63.75" customHeight="1" x14ac:dyDescent="0.25">
      <c r="A63" s="998"/>
      <c r="B63" s="992"/>
      <c r="C63" s="118" t="s">
        <v>124</v>
      </c>
      <c r="D63" s="325">
        <v>0</v>
      </c>
      <c r="E63" s="328">
        <v>158.4</v>
      </c>
      <c r="F63" s="325">
        <v>158.4</v>
      </c>
      <c r="G63" s="325">
        <v>158.4</v>
      </c>
    </row>
    <row r="64" spans="1:16" ht="18" customHeight="1" x14ac:dyDescent="0.25">
      <c r="A64" s="999" t="s">
        <v>576</v>
      </c>
      <c r="B64" s="992" t="s">
        <v>603</v>
      </c>
      <c r="C64" s="118" t="s">
        <v>122</v>
      </c>
      <c r="D64" s="325">
        <v>0</v>
      </c>
      <c r="E64" s="326">
        <f>E65+E66</f>
        <v>36126.99</v>
      </c>
      <c r="F64" s="327">
        <f>F65+F66</f>
        <v>0</v>
      </c>
      <c r="G64" s="327">
        <f>G65+G66</f>
        <v>0</v>
      </c>
    </row>
    <row r="65" spans="1:7" ht="17.25" customHeight="1" x14ac:dyDescent="0.25">
      <c r="A65" s="999"/>
      <c r="B65" s="992"/>
      <c r="C65" s="118" t="s">
        <v>123</v>
      </c>
      <c r="D65" s="325">
        <v>0</v>
      </c>
      <c r="E65" s="328">
        <v>25000</v>
      </c>
      <c r="F65" s="325">
        <v>0</v>
      </c>
      <c r="G65" s="325">
        <v>0</v>
      </c>
    </row>
    <row r="66" spans="1:7" ht="16.5" customHeight="1" x14ac:dyDescent="0.25">
      <c r="A66" s="999"/>
      <c r="B66" s="992"/>
      <c r="C66" s="118" t="s">
        <v>124</v>
      </c>
      <c r="D66" s="325">
        <v>0</v>
      </c>
      <c r="E66" s="328">
        <v>11126.99</v>
      </c>
      <c r="F66" s="325">
        <v>0</v>
      </c>
      <c r="G66" s="325">
        <v>0</v>
      </c>
    </row>
    <row r="67" spans="1:7" ht="15.75" x14ac:dyDescent="0.25">
      <c r="A67" s="1000" t="s">
        <v>649</v>
      </c>
      <c r="B67" s="1001"/>
      <c r="C67" s="118" t="s">
        <v>122</v>
      </c>
      <c r="D67" s="325">
        <v>0</v>
      </c>
      <c r="E67" s="326">
        <f>E68+E69</f>
        <v>9683.76</v>
      </c>
      <c r="F67" s="327">
        <f>F68+F69</f>
        <v>0</v>
      </c>
      <c r="G67" s="327">
        <f>G68+G69</f>
        <v>2609.4</v>
      </c>
    </row>
    <row r="68" spans="1:7" ht="15.75" x14ac:dyDescent="0.25">
      <c r="A68" s="1002"/>
      <c r="B68" s="1003"/>
      <c r="C68" s="118" t="s">
        <v>123</v>
      </c>
      <c r="D68" s="325">
        <v>0</v>
      </c>
      <c r="E68" s="328">
        <f t="shared" ref="E68:G69" si="4">E71</f>
        <v>0</v>
      </c>
      <c r="F68" s="325">
        <f t="shared" si="4"/>
        <v>0</v>
      </c>
      <c r="G68" s="325">
        <f t="shared" si="4"/>
        <v>0</v>
      </c>
    </row>
    <row r="69" spans="1:7" ht="15.75" x14ac:dyDescent="0.25">
      <c r="A69" s="1004"/>
      <c r="B69" s="1005"/>
      <c r="C69" s="118" t="s">
        <v>124</v>
      </c>
      <c r="D69" s="325">
        <v>0</v>
      </c>
      <c r="E69" s="328">
        <f t="shared" si="4"/>
        <v>9683.76</v>
      </c>
      <c r="F69" s="325">
        <f t="shared" si="4"/>
        <v>0</v>
      </c>
      <c r="G69" s="325">
        <f t="shared" si="4"/>
        <v>2609.4</v>
      </c>
    </row>
    <row r="70" spans="1:7" ht="18.75" customHeight="1" x14ac:dyDescent="0.25">
      <c r="A70" s="999" t="s">
        <v>172</v>
      </c>
      <c r="B70" s="992" t="s">
        <v>176</v>
      </c>
      <c r="C70" s="118" t="s">
        <v>122</v>
      </c>
      <c r="D70" s="325">
        <v>0</v>
      </c>
      <c r="E70" s="326">
        <f>E71+E72</f>
        <v>9683.76</v>
      </c>
      <c r="F70" s="327">
        <f>F71+F72</f>
        <v>0</v>
      </c>
      <c r="G70" s="327">
        <f>G71+G72</f>
        <v>2609.4</v>
      </c>
    </row>
    <row r="71" spans="1:7" ht="15.75" customHeight="1" x14ac:dyDescent="0.25">
      <c r="A71" s="999"/>
      <c r="B71" s="992"/>
      <c r="C71" s="118" t="s">
        <v>123</v>
      </c>
      <c r="D71" s="325">
        <v>0</v>
      </c>
      <c r="E71" s="328">
        <v>0</v>
      </c>
      <c r="F71" s="325">
        <v>0</v>
      </c>
      <c r="G71" s="325">
        <v>0</v>
      </c>
    </row>
    <row r="72" spans="1:7" ht="15.75" x14ac:dyDescent="0.25">
      <c r="A72" s="999"/>
      <c r="B72" s="992"/>
      <c r="C72" s="118" t="s">
        <v>124</v>
      </c>
      <c r="D72" s="325">
        <v>0</v>
      </c>
      <c r="E72" s="328">
        <v>9683.76</v>
      </c>
      <c r="F72" s="325">
        <v>0</v>
      </c>
      <c r="G72" s="325">
        <v>2609.4</v>
      </c>
    </row>
    <row r="73" spans="1:7" ht="15.75" x14ac:dyDescent="0.25">
      <c r="A73" s="1000" t="s">
        <v>473</v>
      </c>
      <c r="B73" s="1001"/>
      <c r="C73" s="118" t="s">
        <v>122</v>
      </c>
      <c r="D73" s="325">
        <v>0</v>
      </c>
      <c r="E73" s="326">
        <f>E74+E75</f>
        <v>2775.4769999999999</v>
      </c>
      <c r="F73" s="327">
        <f>F74+F75</f>
        <v>0</v>
      </c>
      <c r="G73" s="327">
        <f>G74+G75</f>
        <v>0</v>
      </c>
    </row>
    <row r="74" spans="1:7" ht="15.75" x14ac:dyDescent="0.25">
      <c r="A74" s="1002"/>
      <c r="B74" s="1003"/>
      <c r="C74" s="118" t="s">
        <v>123</v>
      </c>
      <c r="D74" s="325">
        <v>0</v>
      </c>
      <c r="E74" s="328">
        <f t="shared" ref="E74:G75" si="5">E77</f>
        <v>2614.4769999999999</v>
      </c>
      <c r="F74" s="325">
        <f t="shared" si="5"/>
        <v>0</v>
      </c>
      <c r="G74" s="325">
        <f t="shared" si="5"/>
        <v>0</v>
      </c>
    </row>
    <row r="75" spans="1:7" ht="15.75" x14ac:dyDescent="0.25">
      <c r="A75" s="1004"/>
      <c r="B75" s="1005"/>
      <c r="C75" s="118" t="s">
        <v>124</v>
      </c>
      <c r="D75" s="325">
        <v>0</v>
      </c>
      <c r="E75" s="328">
        <f t="shared" si="5"/>
        <v>161</v>
      </c>
      <c r="F75" s="325">
        <f t="shared" si="5"/>
        <v>0</v>
      </c>
      <c r="G75" s="325">
        <f t="shared" si="5"/>
        <v>0</v>
      </c>
    </row>
    <row r="76" spans="1:7" ht="15.75" x14ac:dyDescent="0.25">
      <c r="A76" s="999" t="s">
        <v>173</v>
      </c>
      <c r="B76" s="992" t="s">
        <v>177</v>
      </c>
      <c r="C76" s="118" t="s">
        <v>122</v>
      </c>
      <c r="D76" s="325">
        <v>0</v>
      </c>
      <c r="E76" s="326">
        <f>E77+E78</f>
        <v>2775.4769999999999</v>
      </c>
      <c r="F76" s="327">
        <f>F77+F78</f>
        <v>0</v>
      </c>
      <c r="G76" s="327">
        <f>G77+G78</f>
        <v>0</v>
      </c>
    </row>
    <row r="77" spans="1:7" ht="15.75" x14ac:dyDescent="0.25">
      <c r="A77" s="999"/>
      <c r="B77" s="992"/>
      <c r="C77" s="118" t="s">
        <v>123</v>
      </c>
      <c r="D77" s="325">
        <v>0</v>
      </c>
      <c r="E77" s="328">
        <v>2614.4769999999999</v>
      </c>
      <c r="F77" s="325">
        <v>0</v>
      </c>
      <c r="G77" s="325">
        <v>0</v>
      </c>
    </row>
    <row r="78" spans="1:7" ht="15.75" x14ac:dyDescent="0.25">
      <c r="A78" s="999"/>
      <c r="B78" s="992"/>
      <c r="C78" s="118" t="s">
        <v>124</v>
      </c>
      <c r="D78" s="325">
        <v>0</v>
      </c>
      <c r="E78" s="328">
        <v>161</v>
      </c>
      <c r="F78" s="325">
        <v>0</v>
      </c>
      <c r="G78" s="325">
        <v>0</v>
      </c>
    </row>
  </sheetData>
  <mergeCells count="41">
    <mergeCell ref="A10:G10"/>
    <mergeCell ref="A73:B75"/>
    <mergeCell ref="A76:A78"/>
    <mergeCell ref="B76:B78"/>
    <mergeCell ref="A13:A14"/>
    <mergeCell ref="B13:B14"/>
    <mergeCell ref="A40:A42"/>
    <mergeCell ref="C13:C14"/>
    <mergeCell ref="A22:A24"/>
    <mergeCell ref="B22:B24"/>
    <mergeCell ref="A16:B18"/>
    <mergeCell ref="A19:A21"/>
    <mergeCell ref="A31:A33"/>
    <mergeCell ref="B19:B21"/>
    <mergeCell ref="B25:B27"/>
    <mergeCell ref="B28:B30"/>
    <mergeCell ref="B31:B33"/>
    <mergeCell ref="A28:A30"/>
    <mergeCell ref="A25:A27"/>
    <mergeCell ref="A43:A45"/>
    <mergeCell ref="A34:A36"/>
    <mergeCell ref="B34:B36"/>
    <mergeCell ref="B43:B45"/>
    <mergeCell ref="B40:B42"/>
    <mergeCell ref="A37:B39"/>
    <mergeCell ref="B46:B48"/>
    <mergeCell ref="B58:B60"/>
    <mergeCell ref="A58:A60"/>
    <mergeCell ref="A46:A48"/>
    <mergeCell ref="A70:A72"/>
    <mergeCell ref="B70:B72"/>
    <mergeCell ref="A49:A51"/>
    <mergeCell ref="B49:B51"/>
    <mergeCell ref="A52:A54"/>
    <mergeCell ref="B52:B54"/>
    <mergeCell ref="A61:A63"/>
    <mergeCell ref="A55:B57"/>
    <mergeCell ref="A64:A66"/>
    <mergeCell ref="B64:B66"/>
    <mergeCell ref="B61:B63"/>
    <mergeCell ref="A67:B69"/>
  </mergeCells>
  <printOptions horizontalCentered="1"/>
  <pageMargins left="0.78740157480314965" right="0.78740157480314965" top="0.59055118110236227" bottom="0.39370078740157483" header="0.31496062992125984" footer="0.31496062992125984"/>
  <pageSetup paperSize="9" firstPageNumber="26" fitToHeight="0" orientation="landscape" useFirstPageNumber="1" r:id="rId1"/>
  <headerFooter differentOddEven="1" differentFirst="1">
    <oddHeader>&amp;C3</oddHeader>
    <evenHeader xml:space="preserve">&amp;C2
</evenHeader>
    <firstHeader xml:space="preserve">&amp;C
</first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Q99"/>
  <sheetViews>
    <sheetView topLeftCell="A28" zoomScale="90" zoomScaleNormal="90" workbookViewId="0">
      <selection activeCell="G18" sqref="G18"/>
    </sheetView>
  </sheetViews>
  <sheetFormatPr defaultRowHeight="12.75" x14ac:dyDescent="0.2"/>
  <cols>
    <col min="1" max="1" width="13.28515625" customWidth="1"/>
    <col min="2" max="2" width="35.7109375" customWidth="1"/>
    <col min="3" max="3" width="19.85546875" customWidth="1"/>
    <col min="4" max="4" width="15.28515625" hidden="1" customWidth="1"/>
    <col min="5" max="5" width="12.42578125" hidden="1" customWidth="1"/>
    <col min="6" max="6" width="13.5703125" customWidth="1"/>
    <col min="7" max="7" width="13.28515625" customWidth="1"/>
    <col min="8" max="8" width="13.42578125" hidden="1" customWidth="1"/>
    <col min="9" max="9" width="13" hidden="1" customWidth="1"/>
    <col min="10" max="10" width="11.42578125" hidden="1" customWidth="1"/>
    <col min="11" max="12" width="9.140625" hidden="1" customWidth="1"/>
    <col min="13" max="13" width="12.5703125" hidden="1" customWidth="1"/>
    <col min="14" max="14" width="13.42578125" hidden="1" customWidth="1"/>
    <col min="15" max="15" width="13.140625" hidden="1" customWidth="1"/>
    <col min="16" max="16" width="16.85546875" customWidth="1"/>
    <col min="17" max="17" width="20.7109375" customWidth="1"/>
    <col min="18" max="18" width="17.85546875" customWidth="1"/>
  </cols>
  <sheetData>
    <row r="1" spans="1:17" ht="18.75" x14ac:dyDescent="0.25">
      <c r="A1" s="31"/>
      <c r="B1" s="31"/>
      <c r="C1" s="31"/>
      <c r="D1" s="31"/>
      <c r="F1" s="112" t="s">
        <v>507</v>
      </c>
      <c r="G1" s="113"/>
      <c r="H1" s="113"/>
    </row>
    <row r="2" spans="1:17" ht="18.75" x14ac:dyDescent="0.25">
      <c r="A2" s="31"/>
      <c r="B2" s="31"/>
      <c r="C2" s="31"/>
      <c r="D2" s="31"/>
      <c r="E2" s="112" t="s">
        <v>507</v>
      </c>
      <c r="F2" s="112" t="s">
        <v>600</v>
      </c>
      <c r="G2" s="113"/>
      <c r="H2" s="113"/>
    </row>
    <row r="3" spans="1:17" ht="18.75" x14ac:dyDescent="0.25">
      <c r="A3" s="31"/>
      <c r="B3" s="31"/>
      <c r="C3" s="31"/>
      <c r="D3" s="31"/>
      <c r="E3" s="112" t="s">
        <v>600</v>
      </c>
      <c r="F3" s="112" t="s">
        <v>601</v>
      </c>
      <c r="G3" s="113"/>
      <c r="H3" s="113"/>
    </row>
    <row r="4" spans="1:17" ht="18.75" x14ac:dyDescent="0.25">
      <c r="A4" s="31"/>
      <c r="B4" s="31"/>
      <c r="C4" s="31"/>
      <c r="D4" s="31"/>
      <c r="E4" s="112" t="s">
        <v>601</v>
      </c>
      <c r="F4" s="112" t="s">
        <v>500</v>
      </c>
      <c r="G4" s="113"/>
      <c r="H4" s="113"/>
    </row>
    <row r="5" spans="1:17" ht="18.75" x14ac:dyDescent="0.25">
      <c r="A5" s="31"/>
      <c r="B5" s="31"/>
      <c r="C5" s="31"/>
      <c r="D5" s="31"/>
      <c r="E5" s="112" t="s">
        <v>500</v>
      </c>
      <c r="F5" s="112" t="s">
        <v>602</v>
      </c>
      <c r="G5" s="113"/>
      <c r="H5" s="113"/>
    </row>
    <row r="6" spans="1:17" ht="18.75" x14ac:dyDescent="0.25">
      <c r="A6" s="31"/>
      <c r="B6" s="31"/>
      <c r="C6" s="31"/>
      <c r="D6" s="31"/>
      <c r="E6" s="112" t="s">
        <v>602</v>
      </c>
      <c r="F6" s="112"/>
      <c r="G6" s="113"/>
      <c r="H6" s="113"/>
    </row>
    <row r="7" spans="1:17" ht="18.75" x14ac:dyDescent="0.25">
      <c r="A7" s="31"/>
      <c r="B7" s="31"/>
      <c r="C7" s="31"/>
      <c r="D7" s="31"/>
      <c r="E7" s="112"/>
      <c r="F7" s="112" t="s">
        <v>507</v>
      </c>
      <c r="G7" s="114"/>
      <c r="H7" s="113"/>
    </row>
    <row r="8" spans="1:17" ht="18.75" x14ac:dyDescent="0.2">
      <c r="A8" s="31"/>
      <c r="B8" s="31"/>
      <c r="C8" s="31"/>
      <c r="D8" s="31"/>
      <c r="E8" s="112" t="s">
        <v>507</v>
      </c>
      <c r="F8" s="112" t="s">
        <v>508</v>
      </c>
      <c r="G8" s="114"/>
      <c r="H8" s="31"/>
    </row>
    <row r="9" spans="1:17" ht="18.75" x14ac:dyDescent="0.2">
      <c r="A9" s="31"/>
      <c r="B9" s="31"/>
      <c r="C9" s="31"/>
      <c r="D9" s="31"/>
      <c r="E9" s="112" t="s">
        <v>508</v>
      </c>
      <c r="F9" s="114"/>
      <c r="G9" s="31"/>
    </row>
    <row r="10" spans="1:17" ht="18.75" x14ac:dyDescent="0.2">
      <c r="A10" s="1006" t="s">
        <v>145</v>
      </c>
      <c r="B10" s="1006"/>
      <c r="C10" s="1006"/>
      <c r="D10" s="1006"/>
      <c r="E10" s="1006"/>
      <c r="F10" s="1006"/>
      <c r="G10" s="1006"/>
    </row>
    <row r="11" spans="1:17" ht="18.75" x14ac:dyDescent="0.2">
      <c r="A11" s="31" t="s">
        <v>146</v>
      </c>
      <c r="B11" s="31"/>
      <c r="C11" s="31"/>
      <c r="D11" s="31"/>
      <c r="E11" s="31"/>
      <c r="F11" s="31"/>
      <c r="G11" s="31"/>
    </row>
    <row r="12" spans="1:17" ht="13.5" thickBot="1" x14ac:dyDescent="0.25"/>
    <row r="13" spans="1:17" ht="15.6" customHeight="1" thickBot="1" x14ac:dyDescent="0.3">
      <c r="A13" s="1034" t="s">
        <v>140</v>
      </c>
      <c r="B13" s="1040" t="s">
        <v>121</v>
      </c>
      <c r="C13" s="1034" t="s">
        <v>141</v>
      </c>
      <c r="D13" s="1036" t="s">
        <v>142</v>
      </c>
      <c r="E13" s="1036"/>
      <c r="F13" s="1036"/>
      <c r="G13" s="1036"/>
      <c r="H13" s="1036"/>
      <c r="I13" s="1036"/>
      <c r="J13" s="1036"/>
      <c r="K13" s="1036"/>
      <c r="L13" s="1036"/>
      <c r="M13" s="1036"/>
      <c r="N13" s="1036"/>
      <c r="O13" s="1036"/>
      <c r="P13" s="1037"/>
    </row>
    <row r="14" spans="1:17" ht="48" thickBot="1" x14ac:dyDescent="0.25">
      <c r="A14" s="1035"/>
      <c r="B14" s="1041"/>
      <c r="C14" s="1035"/>
      <c r="D14" s="240" t="s">
        <v>143</v>
      </c>
      <c r="E14" s="403">
        <v>2021</v>
      </c>
      <c r="F14" s="404">
        <v>2022</v>
      </c>
      <c r="G14" s="125">
        <v>2023</v>
      </c>
      <c r="H14" s="405">
        <v>2023</v>
      </c>
      <c r="I14" s="403">
        <v>2023</v>
      </c>
      <c r="J14" s="403">
        <v>2023</v>
      </c>
      <c r="K14" s="403">
        <v>2023</v>
      </c>
      <c r="L14" s="403">
        <v>2023</v>
      </c>
      <c r="M14" s="403">
        <v>2023</v>
      </c>
      <c r="N14" s="403">
        <v>2023</v>
      </c>
      <c r="O14" s="403">
        <v>2023</v>
      </c>
      <c r="P14" s="406">
        <v>2024</v>
      </c>
      <c r="Q14" s="329"/>
    </row>
    <row r="15" spans="1:17" ht="15.75" customHeight="1" thickBot="1" x14ac:dyDescent="0.3">
      <c r="A15" s="61">
        <v>1</v>
      </c>
      <c r="B15" s="73">
        <v>2</v>
      </c>
      <c r="C15" s="61">
        <v>3</v>
      </c>
      <c r="D15" s="73">
        <v>4</v>
      </c>
      <c r="E15" s="57">
        <v>5</v>
      </c>
      <c r="F15" s="64">
        <v>4</v>
      </c>
      <c r="G15" s="61">
        <v>5</v>
      </c>
      <c r="H15" s="60">
        <v>8</v>
      </c>
      <c r="I15" s="57">
        <v>9</v>
      </c>
      <c r="J15" s="57">
        <v>10</v>
      </c>
      <c r="K15" s="57">
        <v>11</v>
      </c>
      <c r="L15" s="57">
        <v>12</v>
      </c>
      <c r="M15" s="57">
        <v>13</v>
      </c>
      <c r="N15" s="57">
        <v>14</v>
      </c>
      <c r="O15" s="57">
        <v>15</v>
      </c>
      <c r="P15" s="407">
        <v>7</v>
      </c>
    </row>
    <row r="16" spans="1:17" ht="15.75" customHeight="1" x14ac:dyDescent="0.25">
      <c r="A16" s="1008" t="s">
        <v>144</v>
      </c>
      <c r="B16" s="1018"/>
      <c r="C16" s="285" t="s">
        <v>122</v>
      </c>
      <c r="D16" s="408">
        <f>D17+D18</f>
        <v>655257.34700000007</v>
      </c>
      <c r="E16" s="409">
        <f>E17+E18</f>
        <v>655257.34700000007</v>
      </c>
      <c r="F16" s="410">
        <f>F17+F18</f>
        <v>592834.00000000012</v>
      </c>
      <c r="G16" s="411">
        <f>G17+G18</f>
        <v>479133.4</v>
      </c>
      <c r="H16" s="412">
        <f t="shared" ref="H16:P16" si="0">H17+H18</f>
        <v>4561</v>
      </c>
      <c r="I16" s="413">
        <f t="shared" si="0"/>
        <v>4562</v>
      </c>
      <c r="J16" s="413">
        <f t="shared" si="0"/>
        <v>4563</v>
      </c>
      <c r="K16" s="413">
        <f t="shared" si="0"/>
        <v>4564</v>
      </c>
      <c r="L16" s="413">
        <f t="shared" si="0"/>
        <v>4565</v>
      </c>
      <c r="M16" s="413">
        <f t="shared" si="0"/>
        <v>209825.09</v>
      </c>
      <c r="N16" s="413">
        <f t="shared" si="0"/>
        <v>4567</v>
      </c>
      <c r="O16" s="413">
        <f t="shared" si="0"/>
        <v>4568</v>
      </c>
      <c r="P16" s="414">
        <f t="shared" si="0"/>
        <v>485968</v>
      </c>
    </row>
    <row r="17" spans="1:17" ht="15.75" x14ac:dyDescent="0.25">
      <c r="A17" s="1010"/>
      <c r="B17" s="1019"/>
      <c r="C17" s="190" t="s">
        <v>123</v>
      </c>
      <c r="D17" s="415">
        <f t="shared" ref="D17:G18" si="1">D21+D25+D29+D33+D37+D41</f>
        <v>31989.476999999999</v>
      </c>
      <c r="E17" s="328">
        <f t="shared" si="1"/>
        <v>31989.476999999999</v>
      </c>
      <c r="F17" s="416">
        <f t="shared" si="1"/>
        <v>4560</v>
      </c>
      <c r="G17" s="417">
        <f t="shared" si="1"/>
        <v>4560</v>
      </c>
      <c r="H17" s="418">
        <f t="shared" ref="H17:P17" si="2">H21+H25+H29+H33+H37+H41</f>
        <v>4561</v>
      </c>
      <c r="I17" s="419">
        <f t="shared" si="2"/>
        <v>4562</v>
      </c>
      <c r="J17" s="419">
        <f t="shared" si="2"/>
        <v>4563</v>
      </c>
      <c r="K17" s="419">
        <f t="shared" si="2"/>
        <v>4564</v>
      </c>
      <c r="L17" s="419">
        <f t="shared" si="2"/>
        <v>4565</v>
      </c>
      <c r="M17" s="419">
        <f t="shared" si="2"/>
        <v>4566</v>
      </c>
      <c r="N17" s="419">
        <f t="shared" si="2"/>
        <v>4567</v>
      </c>
      <c r="O17" s="419">
        <f t="shared" si="2"/>
        <v>4568</v>
      </c>
      <c r="P17" s="420">
        <f t="shared" si="2"/>
        <v>4560</v>
      </c>
      <c r="Q17" s="47"/>
    </row>
    <row r="18" spans="1:17" ht="15.75" customHeight="1" thickBot="1" x14ac:dyDescent="0.3">
      <c r="A18" s="1010"/>
      <c r="B18" s="1019"/>
      <c r="C18" s="334" t="s">
        <v>124</v>
      </c>
      <c r="D18" s="421">
        <f t="shared" si="1"/>
        <v>623267.87000000011</v>
      </c>
      <c r="E18" s="422">
        <f t="shared" si="1"/>
        <v>623267.87000000011</v>
      </c>
      <c r="F18" s="423">
        <f t="shared" si="1"/>
        <v>588274.00000000012</v>
      </c>
      <c r="G18" s="424">
        <f t="shared" si="1"/>
        <v>474573.4</v>
      </c>
      <c r="H18" s="425">
        <f t="shared" ref="H18:P18" si="3">H22+H26+H30+H34+H38+H42</f>
        <v>0</v>
      </c>
      <c r="I18" s="426">
        <f t="shared" si="3"/>
        <v>0</v>
      </c>
      <c r="J18" s="426">
        <f t="shared" si="3"/>
        <v>0</v>
      </c>
      <c r="K18" s="426">
        <f t="shared" si="3"/>
        <v>0</v>
      </c>
      <c r="L18" s="426">
        <f t="shared" si="3"/>
        <v>0</v>
      </c>
      <c r="M18" s="426">
        <f t="shared" si="3"/>
        <v>205259.09</v>
      </c>
      <c r="N18" s="426">
        <f t="shared" si="3"/>
        <v>0</v>
      </c>
      <c r="O18" s="426">
        <f t="shared" si="3"/>
        <v>0</v>
      </c>
      <c r="P18" s="427">
        <f t="shared" si="3"/>
        <v>481408</v>
      </c>
      <c r="Q18" s="47"/>
    </row>
    <row r="19" spans="1:17" ht="15.75" customHeight="1" thickBot="1" x14ac:dyDescent="0.3">
      <c r="A19" s="1020"/>
      <c r="B19" s="1021"/>
      <c r="C19" s="182" t="s">
        <v>745</v>
      </c>
      <c r="D19" s="428"/>
      <c r="E19" s="429"/>
      <c r="F19" s="430">
        <v>0</v>
      </c>
      <c r="G19" s="431">
        <v>0</v>
      </c>
      <c r="H19" s="432"/>
      <c r="I19" s="433"/>
      <c r="J19" s="433"/>
      <c r="K19" s="433"/>
      <c r="L19" s="433"/>
      <c r="M19" s="433"/>
      <c r="N19" s="433"/>
      <c r="O19" s="433"/>
      <c r="P19" s="434">
        <v>0</v>
      </c>
      <c r="Q19" s="47"/>
    </row>
    <row r="20" spans="1:17" ht="23.25" customHeight="1" x14ac:dyDescent="0.25">
      <c r="A20" s="1022" t="s">
        <v>63</v>
      </c>
      <c r="B20" s="1025" t="s">
        <v>583</v>
      </c>
      <c r="C20" s="285" t="s">
        <v>122</v>
      </c>
      <c r="D20" s="408">
        <f>D21+D22</f>
        <v>20068.740000000002</v>
      </c>
      <c r="E20" s="409">
        <f>E21+E22</f>
        <v>20068.740000000002</v>
      </c>
      <c r="F20" s="410">
        <f>F21+F22</f>
        <v>24484.011999999999</v>
      </c>
      <c r="G20" s="411">
        <f>G21+G22</f>
        <v>23214.412</v>
      </c>
      <c r="H20" s="412">
        <f t="shared" ref="H20:P20" si="4">H21+H22</f>
        <v>0</v>
      </c>
      <c r="I20" s="413">
        <f t="shared" si="4"/>
        <v>0</v>
      </c>
      <c r="J20" s="413">
        <f t="shared" si="4"/>
        <v>0</v>
      </c>
      <c r="K20" s="413">
        <f t="shared" si="4"/>
        <v>0</v>
      </c>
      <c r="L20" s="413">
        <f t="shared" si="4"/>
        <v>0</v>
      </c>
      <c r="M20" s="413">
        <f t="shared" si="4"/>
        <v>0</v>
      </c>
      <c r="N20" s="413">
        <f t="shared" si="4"/>
        <v>0</v>
      </c>
      <c r="O20" s="413">
        <f t="shared" si="4"/>
        <v>0</v>
      </c>
      <c r="P20" s="414">
        <f t="shared" si="4"/>
        <v>20933.671999999999</v>
      </c>
    </row>
    <row r="21" spans="1:17" ht="17.25" customHeight="1" x14ac:dyDescent="0.25">
      <c r="A21" s="1023"/>
      <c r="B21" s="1026"/>
      <c r="C21" s="190" t="s">
        <v>123</v>
      </c>
      <c r="D21" s="415">
        <v>0</v>
      </c>
      <c r="E21" s="328">
        <v>0</v>
      </c>
      <c r="F21" s="416">
        <v>0</v>
      </c>
      <c r="G21" s="417">
        <v>0</v>
      </c>
      <c r="H21" s="418">
        <v>0</v>
      </c>
      <c r="I21" s="419">
        <v>0</v>
      </c>
      <c r="J21" s="419">
        <v>0</v>
      </c>
      <c r="K21" s="419">
        <v>0</v>
      </c>
      <c r="L21" s="419">
        <v>0</v>
      </c>
      <c r="M21" s="419">
        <v>0</v>
      </c>
      <c r="N21" s="419">
        <v>0</v>
      </c>
      <c r="O21" s="419">
        <v>0</v>
      </c>
      <c r="P21" s="420">
        <v>0</v>
      </c>
    </row>
    <row r="22" spans="1:17" ht="20.25" customHeight="1" thickBot="1" x14ac:dyDescent="0.3">
      <c r="A22" s="1023"/>
      <c r="B22" s="1026"/>
      <c r="C22" s="334" t="s">
        <v>124</v>
      </c>
      <c r="D22" s="421">
        <f>D48</f>
        <v>20068.740000000002</v>
      </c>
      <c r="E22" s="422">
        <f>E48</f>
        <v>20068.740000000002</v>
      </c>
      <c r="F22" s="423">
        <v>24484.011999999999</v>
      </c>
      <c r="G22" s="424">
        <v>23214.412</v>
      </c>
      <c r="H22" s="435"/>
      <c r="I22" s="436"/>
      <c r="J22" s="436"/>
      <c r="K22" s="436"/>
      <c r="L22" s="436"/>
      <c r="M22" s="436"/>
      <c r="N22" s="436"/>
      <c r="O22" s="436"/>
      <c r="P22" s="427">
        <v>20933.671999999999</v>
      </c>
    </row>
    <row r="23" spans="1:17" ht="18.75" customHeight="1" thickBot="1" x14ac:dyDescent="0.3">
      <c r="A23" s="1024"/>
      <c r="B23" s="1027"/>
      <c r="C23" s="182" t="s">
        <v>745</v>
      </c>
      <c r="D23" s="428"/>
      <c r="E23" s="429"/>
      <c r="F23" s="430">
        <v>0</v>
      </c>
      <c r="G23" s="431">
        <v>0</v>
      </c>
      <c r="H23" s="432"/>
      <c r="I23" s="433"/>
      <c r="J23" s="433"/>
      <c r="K23" s="433"/>
      <c r="L23" s="433"/>
      <c r="M23" s="433"/>
      <c r="N23" s="433"/>
      <c r="O23" s="433"/>
      <c r="P23" s="434">
        <v>0</v>
      </c>
    </row>
    <row r="24" spans="1:17" ht="23.25" customHeight="1" x14ac:dyDescent="0.25">
      <c r="A24" s="1022" t="s">
        <v>64</v>
      </c>
      <c r="B24" s="1025" t="s">
        <v>175</v>
      </c>
      <c r="C24" s="285" t="s">
        <v>122</v>
      </c>
      <c r="D24" s="408">
        <f>D25+D26</f>
        <v>251853.24</v>
      </c>
      <c r="E24" s="409">
        <f>E25+E26</f>
        <v>251853.24</v>
      </c>
      <c r="F24" s="410">
        <f>F25+F26</f>
        <v>246409.25399999999</v>
      </c>
      <c r="G24" s="411">
        <f>G25+G26</f>
        <v>152836.42199999999</v>
      </c>
      <c r="H24" s="412">
        <f t="shared" ref="H24:P24" si="5">H25+H26</f>
        <v>1</v>
      </c>
      <c r="I24" s="413">
        <f t="shared" si="5"/>
        <v>2</v>
      </c>
      <c r="J24" s="413">
        <f t="shared" si="5"/>
        <v>3</v>
      </c>
      <c r="K24" s="413">
        <f t="shared" si="5"/>
        <v>4</v>
      </c>
      <c r="L24" s="413">
        <f t="shared" si="5"/>
        <v>5</v>
      </c>
      <c r="M24" s="413">
        <f t="shared" si="5"/>
        <v>6</v>
      </c>
      <c r="N24" s="413">
        <f t="shared" si="5"/>
        <v>7</v>
      </c>
      <c r="O24" s="413">
        <f t="shared" si="5"/>
        <v>8</v>
      </c>
      <c r="P24" s="414">
        <f t="shared" si="5"/>
        <v>166731.97200000001</v>
      </c>
    </row>
    <row r="25" spans="1:17" ht="19.5" customHeight="1" x14ac:dyDescent="0.25">
      <c r="A25" s="1023"/>
      <c r="B25" s="1026"/>
      <c r="C25" s="190" t="s">
        <v>123</v>
      </c>
      <c r="D25" s="415">
        <v>0</v>
      </c>
      <c r="E25" s="328">
        <v>0</v>
      </c>
      <c r="F25" s="416">
        <v>0</v>
      </c>
      <c r="G25" s="417">
        <v>0</v>
      </c>
      <c r="H25" s="418">
        <v>1</v>
      </c>
      <c r="I25" s="419">
        <v>2</v>
      </c>
      <c r="J25" s="419">
        <v>3</v>
      </c>
      <c r="K25" s="419">
        <v>4</v>
      </c>
      <c r="L25" s="419">
        <v>5</v>
      </c>
      <c r="M25" s="419">
        <v>6</v>
      </c>
      <c r="N25" s="419">
        <v>7</v>
      </c>
      <c r="O25" s="419">
        <v>8</v>
      </c>
      <c r="P25" s="420">
        <v>0</v>
      </c>
    </row>
    <row r="26" spans="1:17" ht="21" customHeight="1" thickBot="1" x14ac:dyDescent="0.3">
      <c r="A26" s="1023"/>
      <c r="B26" s="1026"/>
      <c r="C26" s="334" t="s">
        <v>124</v>
      </c>
      <c r="D26" s="421">
        <f>D54</f>
        <v>251853.24</v>
      </c>
      <c r="E26" s="422">
        <f>E54</f>
        <v>251853.24</v>
      </c>
      <c r="F26" s="423">
        <v>246409.25399999999</v>
      </c>
      <c r="G26" s="424">
        <v>152836.42199999999</v>
      </c>
      <c r="H26" s="425">
        <f t="shared" ref="H26:O26" si="6">H54</f>
        <v>0</v>
      </c>
      <c r="I26" s="426">
        <f t="shared" si="6"/>
        <v>0</v>
      </c>
      <c r="J26" s="426">
        <f t="shared" si="6"/>
        <v>0</v>
      </c>
      <c r="K26" s="426">
        <f t="shared" si="6"/>
        <v>0</v>
      </c>
      <c r="L26" s="426">
        <f t="shared" si="6"/>
        <v>0</v>
      </c>
      <c r="M26" s="426">
        <f t="shared" si="6"/>
        <v>0</v>
      </c>
      <c r="N26" s="426">
        <f t="shared" si="6"/>
        <v>0</v>
      </c>
      <c r="O26" s="426">
        <f t="shared" si="6"/>
        <v>0</v>
      </c>
      <c r="P26" s="427">
        <v>166731.97200000001</v>
      </c>
    </row>
    <row r="27" spans="1:17" ht="21" customHeight="1" thickBot="1" x14ac:dyDescent="0.3">
      <c r="A27" s="1024"/>
      <c r="B27" s="1027"/>
      <c r="C27" s="182" t="s">
        <v>745</v>
      </c>
      <c r="D27" s="428"/>
      <c r="E27" s="429"/>
      <c r="F27" s="430">
        <v>0</v>
      </c>
      <c r="G27" s="431">
        <v>0</v>
      </c>
      <c r="H27" s="432"/>
      <c r="I27" s="433"/>
      <c r="J27" s="433"/>
      <c r="K27" s="433"/>
      <c r="L27" s="433"/>
      <c r="M27" s="433"/>
      <c r="N27" s="433"/>
      <c r="O27" s="433"/>
      <c r="P27" s="434">
        <v>0</v>
      </c>
    </row>
    <row r="28" spans="1:17" ht="15.75" customHeight="1" x14ac:dyDescent="0.25">
      <c r="A28" s="1022" t="s">
        <v>172</v>
      </c>
      <c r="B28" s="1025" t="s">
        <v>176</v>
      </c>
      <c r="C28" s="285" t="s">
        <v>122</v>
      </c>
      <c r="D28" s="408">
        <f>D29+D30</f>
        <v>214893.18000000002</v>
      </c>
      <c r="E28" s="409">
        <f>E29+E30</f>
        <v>214893.18000000002</v>
      </c>
      <c r="F28" s="410">
        <f>F29+F30</f>
        <v>214048.83300000001</v>
      </c>
      <c r="G28" s="411">
        <f>G29+G30</f>
        <v>216056.391</v>
      </c>
      <c r="H28" s="412">
        <f t="shared" ref="H28:P28" si="7">H29+H30</f>
        <v>4560</v>
      </c>
      <c r="I28" s="413">
        <f t="shared" si="7"/>
        <v>4560</v>
      </c>
      <c r="J28" s="413">
        <f t="shared" si="7"/>
        <v>4560</v>
      </c>
      <c r="K28" s="413">
        <f t="shared" si="7"/>
        <v>4560</v>
      </c>
      <c r="L28" s="413">
        <f t="shared" si="7"/>
        <v>4560</v>
      </c>
      <c r="M28" s="413">
        <f t="shared" si="7"/>
        <v>209819.09</v>
      </c>
      <c r="N28" s="413">
        <f t="shared" si="7"/>
        <v>4560</v>
      </c>
      <c r="O28" s="413">
        <f t="shared" si="7"/>
        <v>4560</v>
      </c>
      <c r="P28" s="414">
        <f t="shared" si="7"/>
        <v>208393.49100000001</v>
      </c>
    </row>
    <row r="29" spans="1:17" ht="15.75" x14ac:dyDescent="0.25">
      <c r="A29" s="1023"/>
      <c r="B29" s="1026"/>
      <c r="C29" s="190" t="s">
        <v>123</v>
      </c>
      <c r="D29" s="415">
        <f>D57</f>
        <v>4375</v>
      </c>
      <c r="E29" s="328">
        <f>E57</f>
        <v>4375</v>
      </c>
      <c r="F29" s="416">
        <v>4560</v>
      </c>
      <c r="G29" s="417">
        <v>4560</v>
      </c>
      <c r="H29" s="418">
        <v>4560</v>
      </c>
      <c r="I29" s="419">
        <v>4560</v>
      </c>
      <c r="J29" s="419">
        <v>4560</v>
      </c>
      <c r="K29" s="419">
        <v>4560</v>
      </c>
      <c r="L29" s="419">
        <v>4560</v>
      </c>
      <c r="M29" s="419">
        <v>4560</v>
      </c>
      <c r="N29" s="419">
        <v>4560</v>
      </c>
      <c r="O29" s="419">
        <v>4560</v>
      </c>
      <c r="P29" s="420">
        <v>4560</v>
      </c>
    </row>
    <row r="30" spans="1:17" ht="15.75" customHeight="1" thickBot="1" x14ac:dyDescent="0.3">
      <c r="A30" s="1023"/>
      <c r="B30" s="1026"/>
      <c r="C30" s="334" t="s">
        <v>124</v>
      </c>
      <c r="D30" s="421">
        <f>D58+D89</f>
        <v>210518.18000000002</v>
      </c>
      <c r="E30" s="422">
        <f>E58+E89</f>
        <v>210518.18000000002</v>
      </c>
      <c r="F30" s="423">
        <v>209488.83300000001</v>
      </c>
      <c r="G30" s="424">
        <v>211496.391</v>
      </c>
      <c r="H30" s="437"/>
      <c r="I30" s="436"/>
      <c r="J30" s="436"/>
      <c r="K30" s="436"/>
      <c r="L30" s="436"/>
      <c r="M30" s="436">
        <v>205259.09</v>
      </c>
      <c r="N30" s="436"/>
      <c r="O30" s="436"/>
      <c r="P30" s="427">
        <v>203833.49100000001</v>
      </c>
    </row>
    <row r="31" spans="1:17" ht="15.75" customHeight="1" thickBot="1" x14ac:dyDescent="0.3">
      <c r="A31" s="1024"/>
      <c r="B31" s="1027"/>
      <c r="C31" s="241" t="s">
        <v>745</v>
      </c>
      <c r="D31" s="438"/>
      <c r="E31" s="439"/>
      <c r="F31" s="440">
        <v>0</v>
      </c>
      <c r="G31" s="441">
        <v>0</v>
      </c>
      <c r="H31" s="442"/>
      <c r="I31" s="443"/>
      <c r="J31" s="443"/>
      <c r="K31" s="443"/>
      <c r="L31" s="443"/>
      <c r="M31" s="443"/>
      <c r="N31" s="443"/>
      <c r="O31" s="443"/>
      <c r="P31" s="444">
        <v>0</v>
      </c>
    </row>
    <row r="32" spans="1:17" ht="51.75" customHeight="1" x14ac:dyDescent="0.2">
      <c r="A32" s="1023" t="s">
        <v>173</v>
      </c>
      <c r="B32" s="1038" t="s">
        <v>177</v>
      </c>
      <c r="C32" s="183" t="s">
        <v>122</v>
      </c>
      <c r="D32" s="445">
        <f>D33+D34</f>
        <v>124134.397</v>
      </c>
      <c r="E32" s="446">
        <f>E33+E34</f>
        <v>124134.397</v>
      </c>
      <c r="F32" s="447">
        <f>F33+F34</f>
        <v>99605.501000000004</v>
      </c>
      <c r="G32" s="411">
        <f>G33+G34</f>
        <v>78739.774999999994</v>
      </c>
      <c r="H32" s="449">
        <f t="shared" ref="H32:P32" si="8">H33+H34</f>
        <v>0</v>
      </c>
      <c r="I32" s="450">
        <f t="shared" si="8"/>
        <v>0</v>
      </c>
      <c r="J32" s="450">
        <f t="shared" si="8"/>
        <v>0</v>
      </c>
      <c r="K32" s="450">
        <f t="shared" si="8"/>
        <v>0</v>
      </c>
      <c r="L32" s="450">
        <f t="shared" si="8"/>
        <v>0</v>
      </c>
      <c r="M32" s="450">
        <f t="shared" si="8"/>
        <v>0</v>
      </c>
      <c r="N32" s="450">
        <f t="shared" si="8"/>
        <v>0</v>
      </c>
      <c r="O32" s="447">
        <f t="shared" si="8"/>
        <v>0</v>
      </c>
      <c r="P32" s="411">
        <f t="shared" si="8"/>
        <v>81622.464999999997</v>
      </c>
    </row>
    <row r="33" spans="1:17" ht="15.75" x14ac:dyDescent="0.25">
      <c r="A33" s="1023"/>
      <c r="B33" s="1038"/>
      <c r="C33" s="190" t="s">
        <v>123</v>
      </c>
      <c r="D33" s="415">
        <f>D61+D95</f>
        <v>2614.4769999999999</v>
      </c>
      <c r="E33" s="328">
        <f>E61+E95</f>
        <v>2614.4769999999999</v>
      </c>
      <c r="F33" s="416">
        <v>0</v>
      </c>
      <c r="G33" s="417">
        <v>0</v>
      </c>
      <c r="H33" s="452"/>
      <c r="I33" s="453"/>
      <c r="J33" s="453"/>
      <c r="K33" s="453"/>
      <c r="L33" s="453"/>
      <c r="M33" s="453"/>
      <c r="N33" s="453"/>
      <c r="O33" s="505"/>
      <c r="P33" s="417">
        <v>0</v>
      </c>
    </row>
    <row r="34" spans="1:17" ht="15.75" customHeight="1" x14ac:dyDescent="0.25">
      <c r="A34" s="1023"/>
      <c r="B34" s="1038"/>
      <c r="C34" s="184" t="s">
        <v>124</v>
      </c>
      <c r="D34" s="454">
        <f>D62+161+D74</f>
        <v>121519.92</v>
      </c>
      <c r="E34" s="455">
        <f>E62+161+E74</f>
        <v>121519.92</v>
      </c>
      <c r="F34" s="416">
        <f>F62+F74</f>
        <v>99605.501000000004</v>
      </c>
      <c r="G34" s="417">
        <v>78739.774999999994</v>
      </c>
      <c r="H34" s="452"/>
      <c r="I34" s="453"/>
      <c r="J34" s="453"/>
      <c r="K34" s="453"/>
      <c r="L34" s="453"/>
      <c r="M34" s="453"/>
      <c r="N34" s="453"/>
      <c r="O34" s="505"/>
      <c r="P34" s="417">
        <v>81622.464999999997</v>
      </c>
      <c r="Q34" s="47"/>
    </row>
    <row r="35" spans="1:17" ht="15.75" customHeight="1" thickBot="1" x14ac:dyDescent="0.3">
      <c r="A35" s="1024"/>
      <c r="B35" s="1039"/>
      <c r="C35" s="182" t="s">
        <v>745</v>
      </c>
      <c r="D35" s="428"/>
      <c r="E35" s="429"/>
      <c r="F35" s="430">
        <v>0</v>
      </c>
      <c r="G35" s="441">
        <v>0</v>
      </c>
      <c r="H35" s="432"/>
      <c r="I35" s="433"/>
      <c r="J35" s="433"/>
      <c r="K35" s="433"/>
      <c r="L35" s="433"/>
      <c r="M35" s="433"/>
      <c r="N35" s="433"/>
      <c r="O35" s="430"/>
      <c r="P35" s="441">
        <v>0</v>
      </c>
    </row>
    <row r="36" spans="1:17" ht="59.25" customHeight="1" x14ac:dyDescent="0.25">
      <c r="A36" s="1028" t="s">
        <v>174</v>
      </c>
      <c r="B36" s="1025" t="s">
        <v>597</v>
      </c>
      <c r="C36" s="285" t="s">
        <v>122</v>
      </c>
      <c r="D36" s="408">
        <f>D37+D38</f>
        <v>8180.7999999999993</v>
      </c>
      <c r="E36" s="409">
        <f>E37+E38</f>
        <v>8180.7999999999993</v>
      </c>
      <c r="F36" s="410">
        <f>F37+F38</f>
        <v>8286.4</v>
      </c>
      <c r="G36" s="411">
        <f>G37+G38</f>
        <v>8286.4</v>
      </c>
      <c r="H36" s="412">
        <f t="shared" ref="H36:P36" si="9">H37+H38</f>
        <v>0</v>
      </c>
      <c r="I36" s="413">
        <f t="shared" si="9"/>
        <v>0</v>
      </c>
      <c r="J36" s="413">
        <f t="shared" si="9"/>
        <v>0</v>
      </c>
      <c r="K36" s="413">
        <f t="shared" si="9"/>
        <v>0</v>
      </c>
      <c r="L36" s="413">
        <f t="shared" si="9"/>
        <v>0</v>
      </c>
      <c r="M36" s="413">
        <f t="shared" si="9"/>
        <v>0</v>
      </c>
      <c r="N36" s="413">
        <f t="shared" si="9"/>
        <v>0</v>
      </c>
      <c r="O36" s="413">
        <f t="shared" si="9"/>
        <v>0</v>
      </c>
      <c r="P36" s="414">
        <f t="shared" si="9"/>
        <v>8286.4</v>
      </c>
    </row>
    <row r="37" spans="1:17" ht="15.75" x14ac:dyDescent="0.25">
      <c r="A37" s="1029"/>
      <c r="B37" s="1026"/>
      <c r="C37" s="190" t="s">
        <v>123</v>
      </c>
      <c r="D37" s="415">
        <v>0</v>
      </c>
      <c r="E37" s="328">
        <v>0</v>
      </c>
      <c r="F37" s="416">
        <v>0</v>
      </c>
      <c r="G37" s="417">
        <v>0</v>
      </c>
      <c r="H37" s="418"/>
      <c r="I37" s="419"/>
      <c r="J37" s="419"/>
      <c r="K37" s="419"/>
      <c r="L37" s="419"/>
      <c r="M37" s="419"/>
      <c r="N37" s="419"/>
      <c r="O37" s="419"/>
      <c r="P37" s="420">
        <v>0</v>
      </c>
    </row>
    <row r="38" spans="1:17" ht="15.75" customHeight="1" thickBot="1" x14ac:dyDescent="0.3">
      <c r="A38" s="1029"/>
      <c r="B38" s="1026"/>
      <c r="C38" s="334" t="s">
        <v>124</v>
      </c>
      <c r="D38" s="421">
        <f>D66+D78</f>
        <v>8180.7999999999993</v>
      </c>
      <c r="E38" s="422">
        <f>E66+E78</f>
        <v>8180.7999999999993</v>
      </c>
      <c r="F38" s="423">
        <f>F66+F78</f>
        <v>8286.4</v>
      </c>
      <c r="G38" s="424">
        <f>G66+G78</f>
        <v>8286.4</v>
      </c>
      <c r="H38" s="425"/>
      <c r="I38" s="426"/>
      <c r="J38" s="426"/>
      <c r="K38" s="426"/>
      <c r="L38" s="426"/>
      <c r="M38" s="426"/>
      <c r="N38" s="426"/>
      <c r="O38" s="426"/>
      <c r="P38" s="427">
        <v>8286.4</v>
      </c>
    </row>
    <row r="39" spans="1:17" ht="15.75" customHeight="1" thickBot="1" x14ac:dyDescent="0.3">
      <c r="A39" s="1029"/>
      <c r="B39" s="1027"/>
      <c r="C39" s="182" t="s">
        <v>745</v>
      </c>
      <c r="D39" s="428"/>
      <c r="E39" s="429"/>
      <c r="F39" s="430">
        <v>0</v>
      </c>
      <c r="G39" s="431">
        <v>0</v>
      </c>
      <c r="H39" s="432"/>
      <c r="I39" s="433"/>
      <c r="J39" s="433"/>
      <c r="K39" s="433"/>
      <c r="L39" s="433"/>
      <c r="M39" s="433"/>
      <c r="N39" s="433"/>
      <c r="O39" s="433"/>
      <c r="P39" s="434">
        <v>0</v>
      </c>
    </row>
    <row r="40" spans="1:17" ht="15.75" hidden="1" x14ac:dyDescent="0.25">
      <c r="A40" s="1030" t="s">
        <v>576</v>
      </c>
      <c r="B40" s="1004" t="s">
        <v>609</v>
      </c>
      <c r="C40" s="183" t="s">
        <v>122</v>
      </c>
      <c r="D40" s="456">
        <f>D41+D42</f>
        <v>36126.99</v>
      </c>
      <c r="E40" s="457">
        <f>E41+E42</f>
        <v>36126.99</v>
      </c>
      <c r="F40" s="447">
        <f>F41+F42</f>
        <v>0</v>
      </c>
      <c r="G40" s="448">
        <f>G41+G42</f>
        <v>0</v>
      </c>
      <c r="H40" s="449">
        <f t="shared" ref="H40:P40" si="10">H41+H42</f>
        <v>0</v>
      </c>
      <c r="I40" s="450">
        <f t="shared" si="10"/>
        <v>0</v>
      </c>
      <c r="J40" s="450">
        <f t="shared" si="10"/>
        <v>0</v>
      </c>
      <c r="K40" s="450">
        <f t="shared" si="10"/>
        <v>0</v>
      </c>
      <c r="L40" s="450">
        <f t="shared" si="10"/>
        <v>0</v>
      </c>
      <c r="M40" s="450">
        <f t="shared" si="10"/>
        <v>0</v>
      </c>
      <c r="N40" s="450">
        <f t="shared" si="10"/>
        <v>0</v>
      </c>
      <c r="O40" s="450">
        <f t="shared" si="10"/>
        <v>0</v>
      </c>
      <c r="P40" s="451">
        <f t="shared" si="10"/>
        <v>0</v>
      </c>
    </row>
    <row r="41" spans="1:17" ht="15.75" hidden="1" x14ac:dyDescent="0.25">
      <c r="A41" s="1031"/>
      <c r="B41" s="1033"/>
      <c r="C41" s="190" t="s">
        <v>123</v>
      </c>
      <c r="D41" s="415">
        <f>D81</f>
        <v>25000</v>
      </c>
      <c r="E41" s="328">
        <f t="shared" ref="E41:G42" si="11">E81</f>
        <v>25000</v>
      </c>
      <c r="F41" s="416">
        <f t="shared" si="11"/>
        <v>0</v>
      </c>
      <c r="G41" s="417">
        <f t="shared" si="11"/>
        <v>0</v>
      </c>
      <c r="H41" s="458"/>
      <c r="I41" s="453"/>
      <c r="J41" s="453"/>
      <c r="K41" s="453"/>
      <c r="L41" s="453"/>
      <c r="M41" s="453"/>
      <c r="N41" s="453"/>
      <c r="O41" s="453"/>
      <c r="P41" s="420">
        <f>P81</f>
        <v>0</v>
      </c>
    </row>
    <row r="42" spans="1:17" ht="15.75" hidden="1" customHeight="1" x14ac:dyDescent="0.25">
      <c r="A42" s="1032"/>
      <c r="B42" s="1000"/>
      <c r="C42" s="184" t="s">
        <v>124</v>
      </c>
      <c r="D42" s="454">
        <f>D82</f>
        <v>11126.99</v>
      </c>
      <c r="E42" s="455">
        <f t="shared" si="11"/>
        <v>11126.99</v>
      </c>
      <c r="F42" s="459">
        <f t="shared" si="11"/>
        <v>0</v>
      </c>
      <c r="G42" s="460">
        <f t="shared" si="11"/>
        <v>0</v>
      </c>
      <c r="H42" s="461"/>
      <c r="I42" s="462"/>
      <c r="J42" s="462"/>
      <c r="K42" s="462"/>
      <c r="L42" s="462"/>
      <c r="M42" s="462"/>
      <c r="N42" s="462"/>
      <c r="O42" s="462"/>
      <c r="P42" s="463">
        <f>P82</f>
        <v>0</v>
      </c>
    </row>
    <row r="43" spans="1:17" ht="15.75" hidden="1" customHeight="1" thickBot="1" x14ac:dyDescent="0.3">
      <c r="A43" s="464"/>
      <c r="B43" s="465"/>
      <c r="C43" s="182"/>
      <c r="D43" s="428"/>
      <c r="E43" s="429"/>
      <c r="F43" s="430"/>
      <c r="G43" s="431"/>
      <c r="H43" s="466"/>
      <c r="I43" s="467"/>
      <c r="J43" s="467"/>
      <c r="K43" s="467"/>
      <c r="L43" s="467"/>
      <c r="M43" s="467"/>
      <c r="N43" s="467"/>
      <c r="O43" s="467"/>
      <c r="P43" s="434"/>
    </row>
    <row r="44" spans="1:17" ht="15" customHeight="1" x14ac:dyDescent="0.25">
      <c r="A44" s="1008" t="s">
        <v>178</v>
      </c>
      <c r="B44" s="1018"/>
      <c r="C44" s="285" t="s">
        <v>122</v>
      </c>
      <c r="D44" s="408">
        <f t="shared" ref="D44:P44" si="12">D48+D52+D56+D60+D64</f>
        <v>606055.32000000007</v>
      </c>
      <c r="E44" s="409">
        <f t="shared" si="12"/>
        <v>606055.32000000007</v>
      </c>
      <c r="F44" s="410">
        <f t="shared" si="12"/>
        <v>591807.89</v>
      </c>
      <c r="G44" s="468">
        <f t="shared" si="12"/>
        <v>478975</v>
      </c>
      <c r="H44" s="469">
        <f t="shared" si="12"/>
        <v>0</v>
      </c>
      <c r="I44" s="470">
        <f t="shared" si="12"/>
        <v>0</v>
      </c>
      <c r="J44" s="470">
        <f t="shared" si="12"/>
        <v>0</v>
      </c>
      <c r="K44" s="470">
        <f t="shared" si="12"/>
        <v>0</v>
      </c>
      <c r="L44" s="470">
        <f t="shared" si="12"/>
        <v>0</v>
      </c>
      <c r="M44" s="470">
        <f t="shared" si="12"/>
        <v>193114.49</v>
      </c>
      <c r="N44" s="470">
        <f t="shared" si="12"/>
        <v>0</v>
      </c>
      <c r="O44" s="470">
        <f t="shared" si="12"/>
        <v>162413.97</v>
      </c>
      <c r="P44" s="471">
        <f t="shared" si="12"/>
        <v>485809.41999999993</v>
      </c>
    </row>
    <row r="45" spans="1:17" ht="15.75" x14ac:dyDescent="0.25">
      <c r="A45" s="1010"/>
      <c r="B45" s="1019"/>
      <c r="C45" s="190" t="s">
        <v>123</v>
      </c>
      <c r="D45" s="415">
        <f t="shared" ref="D45:G46" si="13">D49+D53+D57+D61+D65</f>
        <v>4375</v>
      </c>
      <c r="E45" s="328">
        <f t="shared" si="13"/>
        <v>4375</v>
      </c>
      <c r="F45" s="416">
        <f t="shared" si="13"/>
        <v>4560</v>
      </c>
      <c r="G45" s="472">
        <f t="shared" si="13"/>
        <v>4560</v>
      </c>
      <c r="H45" s="452"/>
      <c r="I45" s="453"/>
      <c r="J45" s="453"/>
      <c r="K45" s="453"/>
      <c r="L45" s="453"/>
      <c r="M45" s="453"/>
      <c r="N45" s="453"/>
      <c r="O45" s="453"/>
      <c r="P45" s="420">
        <f>P84</f>
        <v>0</v>
      </c>
    </row>
    <row r="46" spans="1:17" ht="15.75" customHeight="1" thickBot="1" x14ac:dyDescent="0.3">
      <c r="A46" s="1010"/>
      <c r="B46" s="1019"/>
      <c r="C46" s="334" t="s">
        <v>124</v>
      </c>
      <c r="D46" s="421">
        <f t="shared" si="13"/>
        <v>601680.32000000007</v>
      </c>
      <c r="E46" s="422">
        <f t="shared" si="13"/>
        <v>601680.32000000007</v>
      </c>
      <c r="F46" s="423">
        <f t="shared" si="13"/>
        <v>587247.89</v>
      </c>
      <c r="G46" s="473">
        <f t="shared" si="13"/>
        <v>474415</v>
      </c>
      <c r="H46" s="435"/>
      <c r="I46" s="474"/>
      <c r="J46" s="436"/>
      <c r="K46" s="436"/>
      <c r="L46" s="436"/>
      <c r="M46" s="436"/>
      <c r="N46" s="436"/>
      <c r="O46" s="436"/>
      <c r="P46" s="427">
        <f>P50+P54+P58+P62+P66</f>
        <v>481249.41999999993</v>
      </c>
    </row>
    <row r="47" spans="1:17" ht="15.75" customHeight="1" thickBot="1" x14ac:dyDescent="0.3">
      <c r="A47" s="1020"/>
      <c r="B47" s="1021"/>
      <c r="C47" s="241" t="s">
        <v>745</v>
      </c>
      <c r="D47" s="438"/>
      <c r="E47" s="439"/>
      <c r="F47" s="440">
        <v>0</v>
      </c>
      <c r="G47" s="441">
        <v>0</v>
      </c>
      <c r="H47" s="442"/>
      <c r="I47" s="443"/>
      <c r="J47" s="443"/>
      <c r="K47" s="443"/>
      <c r="L47" s="443"/>
      <c r="M47" s="443"/>
      <c r="N47" s="443"/>
      <c r="O47" s="443"/>
      <c r="P47" s="444">
        <v>0</v>
      </c>
    </row>
    <row r="48" spans="1:17" ht="15.75" customHeight="1" x14ac:dyDescent="0.25">
      <c r="A48" s="1022" t="s">
        <v>63</v>
      </c>
      <c r="B48" s="1008" t="s">
        <v>583</v>
      </c>
      <c r="C48" s="285" t="s">
        <v>122</v>
      </c>
      <c r="D48" s="456">
        <f>D49+D50</f>
        <v>20068.740000000002</v>
      </c>
      <c r="E48" s="457">
        <f>E49+E50</f>
        <v>20068.740000000002</v>
      </c>
      <c r="F48" s="447">
        <f>F49+F50</f>
        <v>24484.011999999999</v>
      </c>
      <c r="G48" s="468">
        <f>G49+G50</f>
        <v>23214.412</v>
      </c>
      <c r="H48" s="445">
        <f t="shared" ref="H48:P48" si="14">H49+H50</f>
        <v>0</v>
      </c>
      <c r="I48" s="446">
        <f t="shared" si="14"/>
        <v>0</v>
      </c>
      <c r="J48" s="446">
        <f t="shared" si="14"/>
        <v>0</v>
      </c>
      <c r="K48" s="446">
        <f t="shared" si="14"/>
        <v>0</v>
      </c>
      <c r="L48" s="446">
        <f t="shared" si="14"/>
        <v>0</v>
      </c>
      <c r="M48" s="446">
        <f t="shared" si="14"/>
        <v>0</v>
      </c>
      <c r="N48" s="446">
        <f t="shared" si="14"/>
        <v>0</v>
      </c>
      <c r="O48" s="446">
        <f t="shared" si="14"/>
        <v>0</v>
      </c>
      <c r="P48" s="475">
        <f t="shared" si="14"/>
        <v>20933.671999999999</v>
      </c>
    </row>
    <row r="49" spans="1:16" ht="21" customHeight="1" x14ac:dyDescent="0.25">
      <c r="A49" s="1023"/>
      <c r="B49" s="1010"/>
      <c r="C49" s="190" t="s">
        <v>123</v>
      </c>
      <c r="D49" s="415">
        <v>0</v>
      </c>
      <c r="E49" s="328">
        <v>0</v>
      </c>
      <c r="F49" s="416">
        <v>0</v>
      </c>
      <c r="G49" s="472">
        <v>0</v>
      </c>
      <c r="H49" s="452"/>
      <c r="I49" s="453"/>
      <c r="J49" s="453"/>
      <c r="K49" s="453"/>
      <c r="L49" s="453"/>
      <c r="M49" s="453"/>
      <c r="N49" s="453"/>
      <c r="O49" s="453"/>
      <c r="P49" s="420">
        <f>P88</f>
        <v>0</v>
      </c>
    </row>
    <row r="50" spans="1:16" ht="25.5" customHeight="1" x14ac:dyDescent="0.25">
      <c r="A50" s="1023"/>
      <c r="B50" s="1010"/>
      <c r="C50" s="184" t="s">
        <v>124</v>
      </c>
      <c r="D50" s="454">
        <v>20068.740000000002</v>
      </c>
      <c r="E50" s="455">
        <v>20068.740000000002</v>
      </c>
      <c r="F50" s="459">
        <v>24484.011999999999</v>
      </c>
      <c r="G50" s="460">
        <v>23214.412</v>
      </c>
      <c r="H50" s="476"/>
      <c r="I50" s="462"/>
      <c r="J50" s="462"/>
      <c r="K50" s="462"/>
      <c r="L50" s="462"/>
      <c r="M50" s="462"/>
      <c r="N50" s="462"/>
      <c r="O50" s="462"/>
      <c r="P50" s="463">
        <v>20933.671999999999</v>
      </c>
    </row>
    <row r="51" spans="1:16" ht="21" customHeight="1" thickBot="1" x14ac:dyDescent="0.3">
      <c r="A51" s="1024"/>
      <c r="B51" s="1020"/>
      <c r="C51" s="334" t="s">
        <v>745</v>
      </c>
      <c r="D51" s="421"/>
      <c r="E51" s="422"/>
      <c r="F51" s="423">
        <v>0</v>
      </c>
      <c r="G51" s="424">
        <v>0</v>
      </c>
      <c r="H51" s="425"/>
      <c r="I51" s="426"/>
      <c r="J51" s="426"/>
      <c r="K51" s="426"/>
      <c r="L51" s="426"/>
      <c r="M51" s="426"/>
      <c r="N51" s="426"/>
      <c r="O51" s="426"/>
      <c r="P51" s="427">
        <v>0</v>
      </c>
    </row>
    <row r="52" spans="1:16" ht="15.75" customHeight="1" x14ac:dyDescent="0.25">
      <c r="A52" s="1022" t="s">
        <v>64</v>
      </c>
      <c r="B52" s="1025" t="s">
        <v>175</v>
      </c>
      <c r="C52" s="285" t="s">
        <v>122</v>
      </c>
      <c r="D52" s="408">
        <f t="shared" ref="D52:P52" si="15">D53+D54</f>
        <v>251853.24</v>
      </c>
      <c r="E52" s="409">
        <f t="shared" si="15"/>
        <v>251853.24</v>
      </c>
      <c r="F52" s="410">
        <f t="shared" si="15"/>
        <v>246409.25399999999</v>
      </c>
      <c r="G52" s="411">
        <f t="shared" si="15"/>
        <v>152836.42199999999</v>
      </c>
      <c r="H52" s="412">
        <f t="shared" si="15"/>
        <v>0</v>
      </c>
      <c r="I52" s="413">
        <f t="shared" si="15"/>
        <v>0</v>
      </c>
      <c r="J52" s="413">
        <f t="shared" si="15"/>
        <v>0</v>
      </c>
      <c r="K52" s="413">
        <f t="shared" si="15"/>
        <v>0</v>
      </c>
      <c r="L52" s="413">
        <f t="shared" si="15"/>
        <v>0</v>
      </c>
      <c r="M52" s="413">
        <f t="shared" si="15"/>
        <v>0</v>
      </c>
      <c r="N52" s="413">
        <f t="shared" si="15"/>
        <v>0</v>
      </c>
      <c r="O52" s="413">
        <f t="shared" si="15"/>
        <v>0</v>
      </c>
      <c r="P52" s="414">
        <f t="shared" si="15"/>
        <v>166731.79199999999</v>
      </c>
    </row>
    <row r="53" spans="1:16" ht="15.75" x14ac:dyDescent="0.25">
      <c r="A53" s="1023"/>
      <c r="B53" s="1026"/>
      <c r="C53" s="190" t="s">
        <v>123</v>
      </c>
      <c r="D53" s="415">
        <v>0</v>
      </c>
      <c r="E53" s="328">
        <v>0</v>
      </c>
      <c r="F53" s="416">
        <v>0</v>
      </c>
      <c r="G53" s="417">
        <v>0</v>
      </c>
      <c r="H53" s="452"/>
      <c r="I53" s="453"/>
      <c r="J53" s="453"/>
      <c r="K53" s="453"/>
      <c r="L53" s="453"/>
      <c r="M53" s="453"/>
      <c r="N53" s="453"/>
      <c r="O53" s="453"/>
      <c r="P53" s="420">
        <f>P92</f>
        <v>0</v>
      </c>
    </row>
    <row r="54" spans="1:16" ht="20.25" customHeight="1" thickBot="1" x14ac:dyDescent="0.3">
      <c r="A54" s="1023"/>
      <c r="B54" s="1026"/>
      <c r="C54" s="334" t="s">
        <v>124</v>
      </c>
      <c r="D54" s="421">
        <v>251853.24</v>
      </c>
      <c r="E54" s="422">
        <v>251853.24</v>
      </c>
      <c r="F54" s="423">
        <v>246409.25399999999</v>
      </c>
      <c r="G54" s="424">
        <v>152836.42199999999</v>
      </c>
      <c r="H54" s="435"/>
      <c r="I54" s="436"/>
      <c r="J54" s="436"/>
      <c r="K54" s="436"/>
      <c r="L54" s="436"/>
      <c r="M54" s="436"/>
      <c r="N54" s="436"/>
      <c r="O54" s="436"/>
      <c r="P54" s="427">
        <v>166731.79199999999</v>
      </c>
    </row>
    <row r="55" spans="1:16" ht="18" customHeight="1" thickBot="1" x14ac:dyDescent="0.3">
      <c r="A55" s="1024"/>
      <c r="B55" s="1027"/>
      <c r="C55" s="334" t="s">
        <v>745</v>
      </c>
      <c r="D55" s="421"/>
      <c r="E55" s="422"/>
      <c r="F55" s="423">
        <v>0</v>
      </c>
      <c r="G55" s="424">
        <v>0</v>
      </c>
      <c r="H55" s="425"/>
      <c r="I55" s="426"/>
      <c r="J55" s="426"/>
      <c r="K55" s="426"/>
      <c r="L55" s="426"/>
      <c r="M55" s="426"/>
      <c r="N55" s="426"/>
      <c r="O55" s="426"/>
      <c r="P55" s="427">
        <v>0</v>
      </c>
    </row>
    <row r="56" spans="1:16" ht="15.75" customHeight="1" x14ac:dyDescent="0.25">
      <c r="A56" s="1022" t="s">
        <v>172</v>
      </c>
      <c r="B56" s="1025" t="s">
        <v>176</v>
      </c>
      <c r="C56" s="183" t="s">
        <v>122</v>
      </c>
      <c r="D56" s="456">
        <f>D57+D58</f>
        <v>205209.42</v>
      </c>
      <c r="E56" s="457">
        <f>E57+E58</f>
        <v>205209.42</v>
      </c>
      <c r="F56" s="447">
        <f>F57+F58</f>
        <v>214048.83300000001</v>
      </c>
      <c r="G56" s="477">
        <f>G57+G58</f>
        <v>216056.391</v>
      </c>
      <c r="H56" s="445">
        <f t="shared" ref="H56:P56" si="16">H57+H58</f>
        <v>0</v>
      </c>
      <c r="I56" s="446">
        <f t="shared" si="16"/>
        <v>0</v>
      </c>
      <c r="J56" s="446">
        <f t="shared" si="16"/>
        <v>0</v>
      </c>
      <c r="K56" s="446">
        <f t="shared" si="16"/>
        <v>0</v>
      </c>
      <c r="L56" s="446">
        <f t="shared" si="16"/>
        <v>0</v>
      </c>
      <c r="M56" s="446">
        <f t="shared" si="16"/>
        <v>193114.49</v>
      </c>
      <c r="N56" s="446">
        <f t="shared" si="16"/>
        <v>0</v>
      </c>
      <c r="O56" s="446">
        <f t="shared" si="16"/>
        <v>162413.97</v>
      </c>
      <c r="P56" s="475">
        <f t="shared" si="16"/>
        <v>208393.49100000001</v>
      </c>
    </row>
    <row r="57" spans="1:16" ht="15.75" x14ac:dyDescent="0.25">
      <c r="A57" s="1023"/>
      <c r="B57" s="1026"/>
      <c r="C57" s="190" t="s">
        <v>123</v>
      </c>
      <c r="D57" s="415">
        <v>4375</v>
      </c>
      <c r="E57" s="328">
        <v>4375</v>
      </c>
      <c r="F57" s="416">
        <v>4560</v>
      </c>
      <c r="G57" s="472">
        <v>4560</v>
      </c>
      <c r="H57" s="418"/>
      <c r="I57" s="478"/>
      <c r="J57" s="453"/>
      <c r="K57" s="453"/>
      <c r="L57" s="453"/>
      <c r="M57" s="453"/>
      <c r="N57" s="453"/>
      <c r="O57" s="453"/>
      <c r="P57" s="420">
        <v>4560</v>
      </c>
    </row>
    <row r="58" spans="1:16" ht="15.75" customHeight="1" thickBot="1" x14ac:dyDescent="0.3">
      <c r="A58" s="1023"/>
      <c r="B58" s="1026"/>
      <c r="C58" s="184" t="s">
        <v>124</v>
      </c>
      <c r="D58" s="454">
        <v>200834.42</v>
      </c>
      <c r="E58" s="455">
        <v>200834.42</v>
      </c>
      <c r="F58" s="459">
        <v>209488.83300000001</v>
      </c>
      <c r="G58" s="479">
        <v>211496.391</v>
      </c>
      <c r="H58" s="476"/>
      <c r="I58" s="480"/>
      <c r="J58" s="462"/>
      <c r="K58" s="462"/>
      <c r="L58" s="462"/>
      <c r="M58" s="462">
        <v>193114.49</v>
      </c>
      <c r="N58" s="462"/>
      <c r="O58" s="462">
        <v>162413.97</v>
      </c>
      <c r="P58" s="463">
        <v>203833.49100000001</v>
      </c>
    </row>
    <row r="59" spans="1:16" ht="15.75" customHeight="1" thickBot="1" x14ac:dyDescent="0.3">
      <c r="A59" s="1024"/>
      <c r="B59" s="1027"/>
      <c r="C59" s="125" t="s">
        <v>745</v>
      </c>
      <c r="D59" s="481"/>
      <c r="E59" s="482"/>
      <c r="F59" s="483">
        <v>0</v>
      </c>
      <c r="G59" s="484">
        <v>0</v>
      </c>
      <c r="H59" s="485"/>
      <c r="I59" s="486"/>
      <c r="J59" s="486"/>
      <c r="K59" s="486"/>
      <c r="L59" s="486"/>
      <c r="M59" s="486"/>
      <c r="N59" s="486"/>
      <c r="O59" s="486"/>
      <c r="P59" s="487">
        <v>0</v>
      </c>
    </row>
    <row r="60" spans="1:16" ht="15.75" customHeight="1" x14ac:dyDescent="0.25">
      <c r="A60" s="1022" t="s">
        <v>173</v>
      </c>
      <c r="B60" s="1025" t="s">
        <v>177</v>
      </c>
      <c r="C60" s="285" t="s">
        <v>122</v>
      </c>
      <c r="D60" s="408">
        <f>D61+D62</f>
        <v>120901.52</v>
      </c>
      <c r="E60" s="409">
        <f>E61+E62</f>
        <v>120901.52</v>
      </c>
      <c r="F60" s="410">
        <f>F61+F62</f>
        <v>98737.790999999997</v>
      </c>
      <c r="G60" s="468">
        <f>G61+G62</f>
        <v>78739.774999999994</v>
      </c>
      <c r="H60" s="469">
        <f t="shared" ref="H60:P60" si="17">H61+H62</f>
        <v>0</v>
      </c>
      <c r="I60" s="470">
        <f t="shared" si="17"/>
        <v>0</v>
      </c>
      <c r="J60" s="470">
        <f t="shared" si="17"/>
        <v>0</v>
      </c>
      <c r="K60" s="470">
        <f t="shared" si="17"/>
        <v>0</v>
      </c>
      <c r="L60" s="470">
        <f t="shared" si="17"/>
        <v>0</v>
      </c>
      <c r="M60" s="470">
        <f t="shared" si="17"/>
        <v>0</v>
      </c>
      <c r="N60" s="470">
        <f t="shared" si="17"/>
        <v>0</v>
      </c>
      <c r="O60" s="470">
        <f t="shared" si="17"/>
        <v>0</v>
      </c>
      <c r="P60" s="471">
        <f t="shared" si="17"/>
        <v>81622.464999999997</v>
      </c>
    </row>
    <row r="61" spans="1:16" ht="15.75" x14ac:dyDescent="0.25">
      <c r="A61" s="1023"/>
      <c r="B61" s="1026"/>
      <c r="C61" s="190" t="s">
        <v>123</v>
      </c>
      <c r="D61" s="415">
        <v>0</v>
      </c>
      <c r="E61" s="328">
        <v>0</v>
      </c>
      <c r="F61" s="416">
        <v>0</v>
      </c>
      <c r="G61" s="472">
        <v>0</v>
      </c>
      <c r="H61" s="452"/>
      <c r="I61" s="453"/>
      <c r="J61" s="453"/>
      <c r="K61" s="453"/>
      <c r="L61" s="453"/>
      <c r="M61" s="453"/>
      <c r="N61" s="453"/>
      <c r="O61" s="453"/>
      <c r="P61" s="420">
        <f>P98</f>
        <v>0</v>
      </c>
    </row>
    <row r="62" spans="1:16" ht="15.75" customHeight="1" thickBot="1" x14ac:dyDescent="0.3">
      <c r="A62" s="1023"/>
      <c r="B62" s="1026"/>
      <c r="C62" s="334" t="s">
        <v>124</v>
      </c>
      <c r="D62" s="421">
        <v>120901.52</v>
      </c>
      <c r="E62" s="422">
        <v>120901.52</v>
      </c>
      <c r="F62" s="423">
        <f>99605.501-F74</f>
        <v>98737.790999999997</v>
      </c>
      <c r="G62" s="424">
        <v>78739.774999999994</v>
      </c>
      <c r="H62" s="425"/>
      <c r="I62" s="436"/>
      <c r="J62" s="436"/>
      <c r="K62" s="436"/>
      <c r="L62" s="436"/>
      <c r="M62" s="436"/>
      <c r="N62" s="436"/>
      <c r="O62" s="436"/>
      <c r="P62" s="427">
        <v>81622.464999999997</v>
      </c>
    </row>
    <row r="63" spans="1:16" ht="15.75" customHeight="1" thickBot="1" x14ac:dyDescent="0.3">
      <c r="A63" s="1024"/>
      <c r="B63" s="1027"/>
      <c r="C63" s="125" t="s">
        <v>745</v>
      </c>
      <c r="D63" s="481"/>
      <c r="E63" s="482"/>
      <c r="F63" s="483">
        <v>0</v>
      </c>
      <c r="G63" s="484">
        <v>0</v>
      </c>
      <c r="H63" s="485"/>
      <c r="I63" s="486"/>
      <c r="J63" s="486"/>
      <c r="K63" s="486"/>
      <c r="L63" s="486"/>
      <c r="M63" s="486"/>
      <c r="N63" s="486"/>
      <c r="O63" s="486"/>
      <c r="P63" s="487">
        <v>0</v>
      </c>
    </row>
    <row r="64" spans="1:16" ht="15.75" customHeight="1" x14ac:dyDescent="0.25">
      <c r="A64" s="1028" t="s">
        <v>174</v>
      </c>
      <c r="B64" s="1025" t="s">
        <v>597</v>
      </c>
      <c r="C64" s="285" t="s">
        <v>122</v>
      </c>
      <c r="D64" s="408">
        <f>D65+D66</f>
        <v>8022.4</v>
      </c>
      <c r="E64" s="409">
        <f>E65+E66</f>
        <v>8022.4</v>
      </c>
      <c r="F64" s="410">
        <f>F65+F66</f>
        <v>8128</v>
      </c>
      <c r="G64" s="411">
        <f>G65+G66</f>
        <v>8128</v>
      </c>
      <c r="H64" s="412">
        <f t="shared" ref="H64:P64" si="18">H65+H66</f>
        <v>0</v>
      </c>
      <c r="I64" s="413">
        <f t="shared" si="18"/>
        <v>0</v>
      </c>
      <c r="J64" s="413">
        <f t="shared" si="18"/>
        <v>0</v>
      </c>
      <c r="K64" s="413">
        <f t="shared" si="18"/>
        <v>0</v>
      </c>
      <c r="L64" s="413">
        <f t="shared" si="18"/>
        <v>0</v>
      </c>
      <c r="M64" s="413">
        <f t="shared" si="18"/>
        <v>0</v>
      </c>
      <c r="N64" s="413">
        <f t="shared" si="18"/>
        <v>0</v>
      </c>
      <c r="O64" s="413">
        <f t="shared" si="18"/>
        <v>0</v>
      </c>
      <c r="P64" s="414">
        <f t="shared" si="18"/>
        <v>8128</v>
      </c>
    </row>
    <row r="65" spans="1:16" ht="15.75" x14ac:dyDescent="0.25">
      <c r="A65" s="1029"/>
      <c r="B65" s="1026"/>
      <c r="C65" s="190" t="s">
        <v>123</v>
      </c>
      <c r="D65" s="415">
        <v>0</v>
      </c>
      <c r="E65" s="328">
        <v>0</v>
      </c>
      <c r="F65" s="416">
        <v>0</v>
      </c>
      <c r="G65" s="417">
        <v>0</v>
      </c>
      <c r="H65" s="452"/>
      <c r="I65" s="453"/>
      <c r="J65" s="453"/>
      <c r="K65" s="453"/>
      <c r="L65" s="453"/>
      <c r="M65" s="453"/>
      <c r="N65" s="453"/>
      <c r="O65" s="453"/>
      <c r="P65" s="420">
        <f>P101</f>
        <v>0</v>
      </c>
    </row>
    <row r="66" spans="1:16" ht="30.75" customHeight="1" thickBot="1" x14ac:dyDescent="0.25">
      <c r="A66" s="1029"/>
      <c r="B66" s="1026"/>
      <c r="C66" s="334" t="s">
        <v>124</v>
      </c>
      <c r="D66" s="488">
        <v>8022.4</v>
      </c>
      <c r="E66" s="489">
        <v>8022.4</v>
      </c>
      <c r="F66" s="423">
        <f>8286.4-158.4</f>
        <v>8128</v>
      </c>
      <c r="G66" s="424">
        <f>8286.4-158.4</f>
        <v>8128</v>
      </c>
      <c r="H66" s="435"/>
      <c r="I66" s="436"/>
      <c r="J66" s="436"/>
      <c r="K66" s="436"/>
      <c r="L66" s="436"/>
      <c r="M66" s="436"/>
      <c r="N66" s="436"/>
      <c r="O66" s="436"/>
      <c r="P66" s="427">
        <f>8286.4-158.4</f>
        <v>8128</v>
      </c>
    </row>
    <row r="67" spans="1:16" ht="30.75" customHeight="1" thickBot="1" x14ac:dyDescent="0.3">
      <c r="A67" s="1042"/>
      <c r="B67" s="1027"/>
      <c r="C67" s="125" t="s">
        <v>745</v>
      </c>
      <c r="D67" s="481"/>
      <c r="E67" s="482"/>
      <c r="F67" s="483">
        <v>0</v>
      </c>
      <c r="G67" s="484">
        <v>0</v>
      </c>
      <c r="H67" s="485"/>
      <c r="I67" s="486"/>
      <c r="J67" s="486"/>
      <c r="K67" s="486"/>
      <c r="L67" s="486"/>
      <c r="M67" s="486"/>
      <c r="N67" s="486"/>
      <c r="O67" s="486"/>
      <c r="P67" s="487">
        <v>0</v>
      </c>
    </row>
    <row r="68" spans="1:16" ht="15.6" customHeight="1" x14ac:dyDescent="0.25">
      <c r="A68" s="1008" t="s">
        <v>179</v>
      </c>
      <c r="B68" s="1018"/>
      <c r="C68" s="183" t="s">
        <v>122</v>
      </c>
      <c r="D68" s="456">
        <f>D69+D70</f>
        <v>36742.79</v>
      </c>
      <c r="E68" s="457">
        <f>E69+E70</f>
        <v>36742.79</v>
      </c>
      <c r="F68" s="447">
        <f>F72+F76</f>
        <v>1026.1100000000001</v>
      </c>
      <c r="G68" s="448">
        <f>G72+G76</f>
        <v>158.4</v>
      </c>
      <c r="H68" s="449">
        <f t="shared" ref="H68:P68" si="19">H72+H76</f>
        <v>0</v>
      </c>
      <c r="I68" s="450">
        <f t="shared" si="19"/>
        <v>0</v>
      </c>
      <c r="J68" s="450">
        <f t="shared" si="19"/>
        <v>0</v>
      </c>
      <c r="K68" s="450">
        <f t="shared" si="19"/>
        <v>0</v>
      </c>
      <c r="L68" s="450">
        <f t="shared" si="19"/>
        <v>0</v>
      </c>
      <c r="M68" s="450">
        <f t="shared" si="19"/>
        <v>0</v>
      </c>
      <c r="N68" s="450">
        <f t="shared" si="19"/>
        <v>0</v>
      </c>
      <c r="O68" s="450">
        <f t="shared" si="19"/>
        <v>0</v>
      </c>
      <c r="P68" s="451">
        <f t="shared" si="19"/>
        <v>158.4</v>
      </c>
    </row>
    <row r="69" spans="1:16" ht="15.75" x14ac:dyDescent="0.25">
      <c r="A69" s="1010"/>
      <c r="B69" s="1019"/>
      <c r="C69" s="190" t="s">
        <v>123</v>
      </c>
      <c r="D69" s="415">
        <f t="shared" ref="D69:G70" si="20">D73+D77+D81</f>
        <v>25000</v>
      </c>
      <c r="E69" s="328">
        <f t="shared" si="20"/>
        <v>25000</v>
      </c>
      <c r="F69" s="416">
        <f t="shared" si="20"/>
        <v>0</v>
      </c>
      <c r="G69" s="417">
        <f t="shared" si="20"/>
        <v>0</v>
      </c>
      <c r="H69" s="452"/>
      <c r="I69" s="453"/>
      <c r="J69" s="453"/>
      <c r="K69" s="453"/>
      <c r="L69" s="453"/>
      <c r="M69" s="453"/>
      <c r="N69" s="453"/>
      <c r="O69" s="453"/>
      <c r="P69" s="420">
        <f>P104</f>
        <v>0</v>
      </c>
    </row>
    <row r="70" spans="1:16" ht="15.75" customHeight="1" thickBot="1" x14ac:dyDescent="0.3">
      <c r="A70" s="1010"/>
      <c r="B70" s="1019"/>
      <c r="C70" s="184" t="s">
        <v>124</v>
      </c>
      <c r="D70" s="454">
        <f t="shared" si="20"/>
        <v>11742.789999999999</v>
      </c>
      <c r="E70" s="455">
        <f t="shared" si="20"/>
        <v>11742.789999999999</v>
      </c>
      <c r="F70" s="459">
        <f t="shared" si="20"/>
        <v>1026.1100000000001</v>
      </c>
      <c r="G70" s="460">
        <f t="shared" si="20"/>
        <v>158.4</v>
      </c>
      <c r="H70" s="476"/>
      <c r="I70" s="462"/>
      <c r="J70" s="462"/>
      <c r="K70" s="462"/>
      <c r="L70" s="462"/>
      <c r="M70" s="462"/>
      <c r="N70" s="462"/>
      <c r="O70" s="462"/>
      <c r="P70" s="463">
        <f>P105</f>
        <v>0</v>
      </c>
    </row>
    <row r="71" spans="1:16" ht="15.75" customHeight="1" thickBot="1" x14ac:dyDescent="0.3">
      <c r="A71" s="1020"/>
      <c r="B71" s="1021"/>
      <c r="C71" s="125" t="s">
        <v>745</v>
      </c>
      <c r="D71" s="481"/>
      <c r="E71" s="482"/>
      <c r="F71" s="483">
        <v>0</v>
      </c>
      <c r="G71" s="484">
        <v>0</v>
      </c>
      <c r="H71" s="485"/>
      <c r="I71" s="486"/>
      <c r="J71" s="486"/>
      <c r="K71" s="486"/>
      <c r="L71" s="486"/>
      <c r="M71" s="486"/>
      <c r="N71" s="486"/>
      <c r="O71" s="486"/>
      <c r="P71" s="487">
        <v>0</v>
      </c>
    </row>
    <row r="72" spans="1:16" ht="15.75" customHeight="1" x14ac:dyDescent="0.25">
      <c r="A72" s="1022" t="s">
        <v>173</v>
      </c>
      <c r="B72" s="1025" t="s">
        <v>177</v>
      </c>
      <c r="C72" s="285" t="s">
        <v>122</v>
      </c>
      <c r="D72" s="408">
        <f>D73+D74</f>
        <v>457.4</v>
      </c>
      <c r="E72" s="409">
        <f>E73+E74</f>
        <v>457.4</v>
      </c>
      <c r="F72" s="410">
        <f>F73+F74</f>
        <v>867.71</v>
      </c>
      <c r="G72" s="411">
        <f>G73+G74</f>
        <v>0</v>
      </c>
      <c r="H72" s="412">
        <f t="shared" ref="H72:P72" si="21">H73+H74</f>
        <v>0</v>
      </c>
      <c r="I72" s="413">
        <f t="shared" si="21"/>
        <v>0</v>
      </c>
      <c r="J72" s="413">
        <f t="shared" si="21"/>
        <v>0</v>
      </c>
      <c r="K72" s="413">
        <f t="shared" si="21"/>
        <v>0</v>
      </c>
      <c r="L72" s="413">
        <f t="shared" si="21"/>
        <v>0</v>
      </c>
      <c r="M72" s="413">
        <f t="shared" si="21"/>
        <v>0</v>
      </c>
      <c r="N72" s="413">
        <f t="shared" si="21"/>
        <v>0</v>
      </c>
      <c r="O72" s="413">
        <f t="shared" si="21"/>
        <v>0</v>
      </c>
      <c r="P72" s="414">
        <f t="shared" si="21"/>
        <v>0</v>
      </c>
    </row>
    <row r="73" spans="1:16" ht="15.75" x14ac:dyDescent="0.25">
      <c r="A73" s="1023"/>
      <c r="B73" s="1026"/>
      <c r="C73" s="190" t="s">
        <v>123</v>
      </c>
      <c r="D73" s="415">
        <v>0</v>
      </c>
      <c r="E73" s="328">
        <v>0</v>
      </c>
      <c r="F73" s="416">
        <v>0</v>
      </c>
      <c r="G73" s="417">
        <v>0</v>
      </c>
      <c r="H73" s="452"/>
      <c r="I73" s="453"/>
      <c r="J73" s="453"/>
      <c r="K73" s="453"/>
      <c r="L73" s="453"/>
      <c r="M73" s="453"/>
      <c r="N73" s="453"/>
      <c r="O73" s="453"/>
      <c r="P73" s="420">
        <f>P107</f>
        <v>0</v>
      </c>
    </row>
    <row r="74" spans="1:16" ht="15.75" customHeight="1" thickBot="1" x14ac:dyDescent="0.3">
      <c r="A74" s="1023"/>
      <c r="B74" s="1026"/>
      <c r="C74" s="334" t="s">
        <v>124</v>
      </c>
      <c r="D74" s="421">
        <v>457.4</v>
      </c>
      <c r="E74" s="422">
        <v>457.4</v>
      </c>
      <c r="F74" s="423">
        <v>867.71</v>
      </c>
      <c r="G74" s="424">
        <v>0</v>
      </c>
      <c r="H74" s="435"/>
      <c r="I74" s="436"/>
      <c r="J74" s="436"/>
      <c r="K74" s="436"/>
      <c r="L74" s="436"/>
      <c r="M74" s="436"/>
      <c r="N74" s="436"/>
      <c r="O74" s="436"/>
      <c r="P74" s="427">
        <f>P108</f>
        <v>0</v>
      </c>
    </row>
    <row r="75" spans="1:16" ht="48" customHeight="1" thickBot="1" x14ac:dyDescent="0.3">
      <c r="A75" s="1024"/>
      <c r="B75" s="1027"/>
      <c r="C75" s="125" t="s">
        <v>745</v>
      </c>
      <c r="D75" s="481"/>
      <c r="E75" s="482"/>
      <c r="F75" s="483">
        <v>0</v>
      </c>
      <c r="G75" s="484">
        <v>0</v>
      </c>
      <c r="H75" s="485"/>
      <c r="I75" s="486"/>
      <c r="J75" s="486"/>
      <c r="K75" s="486"/>
      <c r="L75" s="486"/>
      <c r="M75" s="486"/>
      <c r="N75" s="486"/>
      <c r="O75" s="486"/>
      <c r="P75" s="487">
        <v>0</v>
      </c>
    </row>
    <row r="76" spans="1:16" ht="15.75" customHeight="1" x14ac:dyDescent="0.25">
      <c r="A76" s="1028" t="s">
        <v>174</v>
      </c>
      <c r="B76" s="1025" t="s">
        <v>597</v>
      </c>
      <c r="C76" s="285" t="s">
        <v>122</v>
      </c>
      <c r="D76" s="408">
        <f>D77+D78</f>
        <v>158.4</v>
      </c>
      <c r="E76" s="409">
        <f>E77+E78</f>
        <v>158.4</v>
      </c>
      <c r="F76" s="410">
        <f>F77+F78</f>
        <v>158.4</v>
      </c>
      <c r="G76" s="411">
        <f>G77+G78</f>
        <v>158.4</v>
      </c>
      <c r="H76" s="412">
        <f t="shared" ref="H76:P76" si="22">H77+H78</f>
        <v>0</v>
      </c>
      <c r="I76" s="413">
        <f t="shared" si="22"/>
        <v>0</v>
      </c>
      <c r="J76" s="413">
        <f t="shared" si="22"/>
        <v>0</v>
      </c>
      <c r="K76" s="413">
        <f t="shared" si="22"/>
        <v>0</v>
      </c>
      <c r="L76" s="413">
        <f t="shared" si="22"/>
        <v>0</v>
      </c>
      <c r="M76" s="413">
        <f t="shared" si="22"/>
        <v>0</v>
      </c>
      <c r="N76" s="413">
        <f t="shared" si="22"/>
        <v>0</v>
      </c>
      <c r="O76" s="413">
        <f t="shared" si="22"/>
        <v>0</v>
      </c>
      <c r="P76" s="414">
        <f t="shared" si="22"/>
        <v>158.4</v>
      </c>
    </row>
    <row r="77" spans="1:16" ht="15.75" x14ac:dyDescent="0.25">
      <c r="A77" s="1029"/>
      <c r="B77" s="1026"/>
      <c r="C77" s="190" t="s">
        <v>123</v>
      </c>
      <c r="D77" s="415">
        <v>0</v>
      </c>
      <c r="E77" s="328">
        <v>0</v>
      </c>
      <c r="F77" s="416">
        <v>0</v>
      </c>
      <c r="G77" s="417">
        <v>0</v>
      </c>
      <c r="H77" s="452"/>
      <c r="I77" s="453"/>
      <c r="J77" s="453"/>
      <c r="K77" s="453"/>
      <c r="L77" s="453"/>
      <c r="M77" s="453"/>
      <c r="N77" s="453"/>
      <c r="O77" s="453"/>
      <c r="P77" s="420">
        <f>P110</f>
        <v>0</v>
      </c>
    </row>
    <row r="78" spans="1:16" ht="21.75" customHeight="1" thickBot="1" x14ac:dyDescent="0.25">
      <c r="A78" s="1029"/>
      <c r="B78" s="1026"/>
      <c r="C78" s="334" t="s">
        <v>124</v>
      </c>
      <c r="D78" s="488">
        <v>158.4</v>
      </c>
      <c r="E78" s="489">
        <v>158.4</v>
      </c>
      <c r="F78" s="423">
        <v>158.4</v>
      </c>
      <c r="G78" s="424">
        <v>158.4</v>
      </c>
      <c r="H78" s="435"/>
      <c r="I78" s="436"/>
      <c r="J78" s="436"/>
      <c r="K78" s="436"/>
      <c r="L78" s="436"/>
      <c r="M78" s="436"/>
      <c r="N78" s="436"/>
      <c r="O78" s="436"/>
      <c r="P78" s="427">
        <v>158.4</v>
      </c>
    </row>
    <row r="79" spans="1:16" ht="46.5" customHeight="1" thickBot="1" x14ac:dyDescent="0.3">
      <c r="A79" s="1029"/>
      <c r="B79" s="1020"/>
      <c r="C79" s="125" t="s">
        <v>745</v>
      </c>
      <c r="D79" s="481"/>
      <c r="E79" s="482"/>
      <c r="F79" s="483">
        <v>0</v>
      </c>
      <c r="G79" s="484">
        <v>0</v>
      </c>
      <c r="H79" s="485"/>
      <c r="I79" s="486"/>
      <c r="J79" s="486"/>
      <c r="K79" s="486"/>
      <c r="L79" s="486"/>
      <c r="M79" s="486"/>
      <c r="N79" s="486"/>
      <c r="O79" s="486"/>
      <c r="P79" s="487">
        <v>0</v>
      </c>
    </row>
    <row r="80" spans="1:16" ht="18" hidden="1" customHeight="1" x14ac:dyDescent="0.25">
      <c r="A80" s="1030" t="s">
        <v>576</v>
      </c>
      <c r="B80" s="1004" t="s">
        <v>603</v>
      </c>
      <c r="C80" s="183" t="s">
        <v>122</v>
      </c>
      <c r="D80" s="456">
        <f>D81+D82</f>
        <v>36126.99</v>
      </c>
      <c r="E80" s="457">
        <f>E81+E82</f>
        <v>36126.99</v>
      </c>
      <c r="F80" s="447">
        <f>F81+F82</f>
        <v>0</v>
      </c>
      <c r="G80" s="448">
        <f>G81+G82</f>
        <v>0</v>
      </c>
      <c r="H80" s="449">
        <f t="shared" ref="H80:P80" si="23">H81+H82</f>
        <v>0</v>
      </c>
      <c r="I80" s="450">
        <f t="shared" si="23"/>
        <v>0</v>
      </c>
      <c r="J80" s="450">
        <f t="shared" si="23"/>
        <v>0</v>
      </c>
      <c r="K80" s="450">
        <f t="shared" si="23"/>
        <v>0</v>
      </c>
      <c r="L80" s="450">
        <f t="shared" si="23"/>
        <v>0</v>
      </c>
      <c r="M80" s="450">
        <f t="shared" si="23"/>
        <v>0</v>
      </c>
      <c r="N80" s="450">
        <f t="shared" si="23"/>
        <v>0</v>
      </c>
      <c r="O80" s="450">
        <f t="shared" si="23"/>
        <v>0</v>
      </c>
      <c r="P80" s="451">
        <f t="shared" si="23"/>
        <v>0</v>
      </c>
    </row>
    <row r="81" spans="1:16" ht="17.25" hidden="1" customHeight="1" x14ac:dyDescent="0.25">
      <c r="A81" s="1031"/>
      <c r="B81" s="1033"/>
      <c r="C81" s="190" t="s">
        <v>123</v>
      </c>
      <c r="D81" s="415">
        <v>25000</v>
      </c>
      <c r="E81" s="328">
        <v>25000</v>
      </c>
      <c r="F81" s="416">
        <v>0</v>
      </c>
      <c r="G81" s="417">
        <v>0</v>
      </c>
      <c r="H81" s="452"/>
      <c r="I81" s="453"/>
      <c r="J81" s="453"/>
      <c r="K81" s="453"/>
      <c r="L81" s="453"/>
      <c r="M81" s="453"/>
      <c r="N81" s="453"/>
      <c r="O81" s="453"/>
      <c r="P81" s="420">
        <f>P113</f>
        <v>0</v>
      </c>
    </row>
    <row r="82" spans="1:16" ht="16.5" hidden="1" customHeight="1" thickBot="1" x14ac:dyDescent="0.3">
      <c r="A82" s="1032"/>
      <c r="B82" s="1000"/>
      <c r="C82" s="190" t="s">
        <v>124</v>
      </c>
      <c r="D82" s="415">
        <v>11126.99</v>
      </c>
      <c r="E82" s="328">
        <v>11126.99</v>
      </c>
      <c r="F82" s="416">
        <v>0</v>
      </c>
      <c r="G82" s="417">
        <v>0</v>
      </c>
      <c r="H82" s="452"/>
      <c r="I82" s="453"/>
      <c r="J82" s="453"/>
      <c r="K82" s="453"/>
      <c r="L82" s="453"/>
      <c r="M82" s="453"/>
      <c r="N82" s="453"/>
      <c r="O82" s="453"/>
      <c r="P82" s="420">
        <f>P114</f>
        <v>0</v>
      </c>
    </row>
    <row r="83" spans="1:16" ht="15.75" customHeight="1" x14ac:dyDescent="0.25">
      <c r="A83" s="1008" t="s">
        <v>649</v>
      </c>
      <c r="B83" s="1009"/>
      <c r="C83" s="190" t="s">
        <v>122</v>
      </c>
      <c r="D83" s="490">
        <f>D84+D85</f>
        <v>9683.76</v>
      </c>
      <c r="E83" s="326">
        <f>E84+E85</f>
        <v>9683.76</v>
      </c>
      <c r="F83" s="491">
        <f>F84+F85</f>
        <v>0</v>
      </c>
      <c r="G83" s="492">
        <f>G84+G85</f>
        <v>2609.4</v>
      </c>
      <c r="H83" s="493">
        <f t="shared" ref="H83:P83" si="24">H84+H85</f>
        <v>0</v>
      </c>
      <c r="I83" s="494">
        <f t="shared" si="24"/>
        <v>0</v>
      </c>
      <c r="J83" s="494">
        <f t="shared" si="24"/>
        <v>0</v>
      </c>
      <c r="K83" s="494">
        <f t="shared" si="24"/>
        <v>0</v>
      </c>
      <c r="L83" s="494">
        <f t="shared" si="24"/>
        <v>0</v>
      </c>
      <c r="M83" s="494">
        <f t="shared" si="24"/>
        <v>0</v>
      </c>
      <c r="N83" s="494">
        <f t="shared" si="24"/>
        <v>0</v>
      </c>
      <c r="O83" s="494">
        <f t="shared" si="24"/>
        <v>0</v>
      </c>
      <c r="P83" s="495">
        <f t="shared" si="24"/>
        <v>0</v>
      </c>
    </row>
    <row r="84" spans="1:16" ht="15.75" x14ac:dyDescent="0.25">
      <c r="A84" s="1010"/>
      <c r="B84" s="1011"/>
      <c r="C84" s="190" t="s">
        <v>123</v>
      </c>
      <c r="D84" s="415">
        <f>D88</f>
        <v>0</v>
      </c>
      <c r="E84" s="328">
        <f t="shared" ref="E84:G85" si="25">E88</f>
        <v>0</v>
      </c>
      <c r="F84" s="416">
        <f t="shared" si="25"/>
        <v>0</v>
      </c>
      <c r="G84" s="417">
        <f t="shared" si="25"/>
        <v>0</v>
      </c>
      <c r="H84" s="452"/>
      <c r="I84" s="453"/>
      <c r="J84" s="453"/>
      <c r="K84" s="453"/>
      <c r="L84" s="453"/>
      <c r="M84" s="453"/>
      <c r="N84" s="453"/>
      <c r="O84" s="453"/>
      <c r="P84" s="420">
        <f>P116</f>
        <v>0</v>
      </c>
    </row>
    <row r="85" spans="1:16" ht="15.75" customHeight="1" thickBot="1" x14ac:dyDescent="0.3">
      <c r="A85" s="1010"/>
      <c r="B85" s="1011"/>
      <c r="C85" s="184" t="s">
        <v>124</v>
      </c>
      <c r="D85" s="454">
        <f>D89</f>
        <v>9683.76</v>
      </c>
      <c r="E85" s="455">
        <f t="shared" si="25"/>
        <v>9683.76</v>
      </c>
      <c r="F85" s="459">
        <f t="shared" si="25"/>
        <v>0</v>
      </c>
      <c r="G85" s="460">
        <f t="shared" si="25"/>
        <v>2609.4</v>
      </c>
      <c r="H85" s="476"/>
      <c r="I85" s="462"/>
      <c r="J85" s="462"/>
      <c r="K85" s="462"/>
      <c r="L85" s="462"/>
      <c r="M85" s="462"/>
      <c r="N85" s="462"/>
      <c r="O85" s="462"/>
      <c r="P85" s="463">
        <f>P117</f>
        <v>0</v>
      </c>
    </row>
    <row r="86" spans="1:16" ht="15.75" customHeight="1" thickBot="1" x14ac:dyDescent="0.3">
      <c r="A86" s="1010"/>
      <c r="B86" s="1011"/>
      <c r="C86" s="179" t="s">
        <v>745</v>
      </c>
      <c r="D86" s="496"/>
      <c r="E86" s="497"/>
      <c r="F86" s="498">
        <v>0</v>
      </c>
      <c r="G86" s="499">
        <v>0</v>
      </c>
      <c r="H86" s="500"/>
      <c r="I86" s="501"/>
      <c r="J86" s="501"/>
      <c r="K86" s="501"/>
      <c r="L86" s="501"/>
      <c r="M86" s="501"/>
      <c r="N86" s="501"/>
      <c r="O86" s="501"/>
      <c r="P86" s="502">
        <v>0</v>
      </c>
    </row>
    <row r="87" spans="1:16" ht="18.75" customHeight="1" x14ac:dyDescent="0.25">
      <c r="A87" s="1012" t="s">
        <v>172</v>
      </c>
      <c r="B87" s="1015" t="s">
        <v>176</v>
      </c>
      <c r="C87" s="285" t="s">
        <v>122</v>
      </c>
      <c r="D87" s="408">
        <f>D88+D89</f>
        <v>9683.76</v>
      </c>
      <c r="E87" s="409">
        <f>E88+E89</f>
        <v>9683.76</v>
      </c>
      <c r="F87" s="410">
        <f>F88+F89</f>
        <v>0</v>
      </c>
      <c r="G87" s="411">
        <f>G88+G89</f>
        <v>2609.4</v>
      </c>
      <c r="H87" s="412">
        <f t="shared" ref="H87:P87" si="26">H88+H89</f>
        <v>0</v>
      </c>
      <c r="I87" s="413">
        <f t="shared" si="26"/>
        <v>0</v>
      </c>
      <c r="J87" s="413">
        <f t="shared" si="26"/>
        <v>0</v>
      </c>
      <c r="K87" s="413">
        <f t="shared" si="26"/>
        <v>0</v>
      </c>
      <c r="L87" s="413">
        <f t="shared" si="26"/>
        <v>0</v>
      </c>
      <c r="M87" s="413">
        <f t="shared" si="26"/>
        <v>0</v>
      </c>
      <c r="N87" s="413">
        <f t="shared" si="26"/>
        <v>0</v>
      </c>
      <c r="O87" s="413">
        <f t="shared" si="26"/>
        <v>0</v>
      </c>
      <c r="P87" s="414">
        <f t="shared" si="26"/>
        <v>0</v>
      </c>
    </row>
    <row r="88" spans="1:16" ht="15.75" customHeight="1" x14ac:dyDescent="0.25">
      <c r="A88" s="1013"/>
      <c r="B88" s="1016"/>
      <c r="C88" s="190" t="s">
        <v>123</v>
      </c>
      <c r="D88" s="415">
        <v>0</v>
      </c>
      <c r="E88" s="328">
        <v>0</v>
      </c>
      <c r="F88" s="416">
        <v>0</v>
      </c>
      <c r="G88" s="417">
        <v>0</v>
      </c>
      <c r="H88" s="452"/>
      <c r="I88" s="453"/>
      <c r="J88" s="453"/>
      <c r="K88" s="453"/>
      <c r="L88" s="453"/>
      <c r="M88" s="453"/>
      <c r="N88" s="453"/>
      <c r="O88" s="453"/>
      <c r="P88" s="420">
        <f>P119</f>
        <v>0</v>
      </c>
    </row>
    <row r="89" spans="1:16" ht="16.5" thickBot="1" x14ac:dyDescent="0.3">
      <c r="A89" s="1013"/>
      <c r="B89" s="1016"/>
      <c r="C89" s="190" t="s">
        <v>124</v>
      </c>
      <c r="D89" s="415">
        <v>9683.76</v>
      </c>
      <c r="E89" s="328">
        <v>9683.76</v>
      </c>
      <c r="F89" s="416">
        <v>0</v>
      </c>
      <c r="G89" s="417">
        <v>2609.4</v>
      </c>
      <c r="H89" s="452"/>
      <c r="I89" s="453"/>
      <c r="J89" s="453"/>
      <c r="K89" s="453"/>
      <c r="L89" s="453"/>
      <c r="M89" s="453"/>
      <c r="N89" s="453"/>
      <c r="O89" s="453"/>
      <c r="P89" s="420">
        <f>P120</f>
        <v>0</v>
      </c>
    </row>
    <row r="90" spans="1:16" ht="16.5" thickBot="1" x14ac:dyDescent="0.3">
      <c r="A90" s="1014"/>
      <c r="B90" s="1017"/>
      <c r="C90" s="125" t="s">
        <v>745</v>
      </c>
      <c r="D90" s="481"/>
      <c r="E90" s="482"/>
      <c r="F90" s="483">
        <v>0</v>
      </c>
      <c r="G90" s="484">
        <v>0</v>
      </c>
      <c r="H90" s="485"/>
      <c r="I90" s="486"/>
      <c r="J90" s="486"/>
      <c r="K90" s="486"/>
      <c r="L90" s="486"/>
      <c r="M90" s="486"/>
      <c r="N90" s="486"/>
      <c r="O90" s="486"/>
      <c r="P90" s="487">
        <v>0</v>
      </c>
    </row>
    <row r="91" spans="1:16" ht="15.75" hidden="1" x14ac:dyDescent="0.25">
      <c r="A91" s="1002" t="s">
        <v>473</v>
      </c>
      <c r="B91" s="1003"/>
      <c r="C91" s="503" t="s">
        <v>122</v>
      </c>
      <c r="D91" s="457">
        <f>D92+D93</f>
        <v>2775.4769999999999</v>
      </c>
      <c r="E91" s="457">
        <f>E92+E93</f>
        <v>2775.4769999999999</v>
      </c>
      <c r="F91" s="450">
        <f>F92+F93</f>
        <v>0</v>
      </c>
      <c r="G91" s="450">
        <f>G92+G93</f>
        <v>0</v>
      </c>
      <c r="H91" s="450">
        <f t="shared" ref="H91:P91" si="27">H92+H93</f>
        <v>0</v>
      </c>
      <c r="I91" s="450">
        <f t="shared" si="27"/>
        <v>0</v>
      </c>
      <c r="J91" s="450">
        <f t="shared" si="27"/>
        <v>0</v>
      </c>
      <c r="K91" s="450">
        <f t="shared" si="27"/>
        <v>0</v>
      </c>
      <c r="L91" s="450">
        <f t="shared" si="27"/>
        <v>0</v>
      </c>
      <c r="M91" s="450">
        <f t="shared" si="27"/>
        <v>0</v>
      </c>
      <c r="N91" s="450">
        <f t="shared" si="27"/>
        <v>0</v>
      </c>
      <c r="O91" s="450">
        <f t="shared" si="27"/>
        <v>0</v>
      </c>
      <c r="P91" s="450">
        <f t="shared" si="27"/>
        <v>0</v>
      </c>
    </row>
    <row r="92" spans="1:16" ht="15.75" hidden="1" x14ac:dyDescent="0.25">
      <c r="A92" s="1002"/>
      <c r="B92" s="1003"/>
      <c r="C92" s="118" t="s">
        <v>123</v>
      </c>
      <c r="D92" s="328">
        <f>D95</f>
        <v>2614.4769999999999</v>
      </c>
      <c r="E92" s="328">
        <f t="shared" ref="E92:G93" si="28">E95</f>
        <v>2614.4769999999999</v>
      </c>
      <c r="F92" s="419">
        <f t="shared" si="28"/>
        <v>0</v>
      </c>
      <c r="G92" s="419">
        <f t="shared" si="28"/>
        <v>0</v>
      </c>
      <c r="H92" s="453"/>
      <c r="I92" s="453"/>
      <c r="J92" s="453"/>
      <c r="K92" s="453"/>
      <c r="L92" s="453"/>
      <c r="M92" s="453"/>
      <c r="N92" s="453"/>
      <c r="O92" s="453"/>
      <c r="P92" s="419">
        <f>P122</f>
        <v>0</v>
      </c>
    </row>
    <row r="93" spans="1:16" ht="15.75" hidden="1" x14ac:dyDescent="0.25">
      <c r="A93" s="1004"/>
      <c r="B93" s="1005"/>
      <c r="C93" s="118" t="s">
        <v>124</v>
      </c>
      <c r="D93" s="328">
        <f>D96</f>
        <v>161</v>
      </c>
      <c r="E93" s="328">
        <f t="shared" si="28"/>
        <v>161</v>
      </c>
      <c r="F93" s="419">
        <f t="shared" si="28"/>
        <v>0</v>
      </c>
      <c r="G93" s="419">
        <f t="shared" si="28"/>
        <v>0</v>
      </c>
      <c r="H93" s="453"/>
      <c r="I93" s="453"/>
      <c r="J93" s="453"/>
      <c r="K93" s="453"/>
      <c r="L93" s="453"/>
      <c r="M93" s="453"/>
      <c r="N93" s="453"/>
      <c r="O93" s="453"/>
      <c r="P93" s="419">
        <f>P123</f>
        <v>0</v>
      </c>
    </row>
    <row r="94" spans="1:16" ht="15.75" hidden="1" x14ac:dyDescent="0.25">
      <c r="A94" s="999" t="s">
        <v>173</v>
      </c>
      <c r="B94" s="992" t="s">
        <v>177</v>
      </c>
      <c r="C94" s="118" t="s">
        <v>122</v>
      </c>
      <c r="D94" s="326">
        <f>D95+D96</f>
        <v>2775.4769999999999</v>
      </c>
      <c r="E94" s="326">
        <f>E95+E96</f>
        <v>2775.4769999999999</v>
      </c>
      <c r="F94" s="494">
        <f>F95+F96</f>
        <v>0</v>
      </c>
      <c r="G94" s="494">
        <f>G95+G96</f>
        <v>0</v>
      </c>
      <c r="H94" s="494">
        <f t="shared" ref="H94:P94" si="29">H95+H96</f>
        <v>0</v>
      </c>
      <c r="I94" s="494">
        <f t="shared" si="29"/>
        <v>0</v>
      </c>
      <c r="J94" s="494">
        <f t="shared" si="29"/>
        <v>0</v>
      </c>
      <c r="K94" s="494">
        <f t="shared" si="29"/>
        <v>0</v>
      </c>
      <c r="L94" s="494">
        <f t="shared" si="29"/>
        <v>0</v>
      </c>
      <c r="M94" s="494">
        <f t="shared" si="29"/>
        <v>0</v>
      </c>
      <c r="N94" s="494">
        <f t="shared" si="29"/>
        <v>0</v>
      </c>
      <c r="O94" s="494">
        <f t="shared" si="29"/>
        <v>0</v>
      </c>
      <c r="P94" s="494">
        <f t="shared" si="29"/>
        <v>0</v>
      </c>
    </row>
    <row r="95" spans="1:16" ht="15.75" hidden="1" x14ac:dyDescent="0.25">
      <c r="A95" s="999"/>
      <c r="B95" s="992"/>
      <c r="C95" s="118" t="s">
        <v>123</v>
      </c>
      <c r="D95" s="328">
        <v>2614.4769999999999</v>
      </c>
      <c r="E95" s="328">
        <v>2614.4769999999999</v>
      </c>
      <c r="F95" s="419">
        <v>0</v>
      </c>
      <c r="G95" s="419">
        <v>0</v>
      </c>
      <c r="H95" s="453"/>
      <c r="I95" s="453"/>
      <c r="J95" s="453"/>
      <c r="K95" s="453"/>
      <c r="L95" s="453"/>
      <c r="M95" s="453"/>
      <c r="N95" s="453"/>
      <c r="O95" s="453"/>
      <c r="P95" s="419">
        <f>P125</f>
        <v>0</v>
      </c>
    </row>
    <row r="96" spans="1:16" ht="15.75" hidden="1" x14ac:dyDescent="0.25">
      <c r="A96" s="999"/>
      <c r="B96" s="992"/>
      <c r="C96" s="118" t="s">
        <v>124</v>
      </c>
      <c r="D96" s="328">
        <v>161</v>
      </c>
      <c r="E96" s="328">
        <v>161</v>
      </c>
      <c r="F96" s="419">
        <v>0</v>
      </c>
      <c r="G96" s="419">
        <v>0</v>
      </c>
      <c r="H96" s="453"/>
      <c r="I96" s="453"/>
      <c r="J96" s="453"/>
      <c r="K96" s="453"/>
      <c r="L96" s="453"/>
      <c r="M96" s="453"/>
      <c r="N96" s="453"/>
      <c r="O96" s="453"/>
      <c r="P96" s="419">
        <f>P126</f>
        <v>0</v>
      </c>
    </row>
    <row r="97" spans="1:16" x14ac:dyDescent="0.2">
      <c r="A97" s="504"/>
      <c r="B97" s="504"/>
      <c r="C97" s="504"/>
      <c r="D97" s="504"/>
      <c r="E97" s="504"/>
      <c r="F97" s="504"/>
      <c r="G97" s="504"/>
      <c r="H97" s="504"/>
      <c r="I97" s="504"/>
      <c r="J97" s="504"/>
      <c r="K97" s="504"/>
      <c r="L97" s="504"/>
      <c r="M97" s="504"/>
      <c r="N97" s="504"/>
      <c r="O97" s="504"/>
      <c r="P97" s="504"/>
    </row>
    <row r="98" spans="1:16" x14ac:dyDescent="0.2">
      <c r="A98" s="504"/>
      <c r="B98" s="504"/>
      <c r="C98" s="504"/>
      <c r="D98" s="504"/>
      <c r="E98" s="504"/>
      <c r="F98" s="504"/>
      <c r="G98" s="504"/>
      <c r="H98" s="504"/>
      <c r="I98" s="504"/>
      <c r="J98" s="504"/>
      <c r="K98" s="504"/>
      <c r="L98" s="504"/>
      <c r="M98" s="504"/>
      <c r="N98" s="504"/>
      <c r="O98" s="504"/>
      <c r="P98" s="504"/>
    </row>
    <row r="99" spans="1:16" x14ac:dyDescent="0.2">
      <c r="A99" s="504"/>
      <c r="B99" s="504"/>
      <c r="C99" s="504"/>
      <c r="D99" s="504"/>
      <c r="E99" s="504"/>
      <c r="F99" s="504"/>
      <c r="G99" s="504"/>
      <c r="H99" s="504"/>
      <c r="I99" s="504"/>
      <c r="J99" s="504"/>
      <c r="K99" s="504"/>
      <c r="L99" s="504"/>
      <c r="M99" s="504"/>
      <c r="N99" s="504"/>
      <c r="O99" s="504"/>
      <c r="P99" s="504"/>
    </row>
  </sheetData>
  <mergeCells count="42">
    <mergeCell ref="A94:A96"/>
    <mergeCell ref="B94:B96"/>
    <mergeCell ref="B13:B14"/>
    <mergeCell ref="A40:A42"/>
    <mergeCell ref="B40:B42"/>
    <mergeCell ref="A91:B93"/>
    <mergeCell ref="A24:A27"/>
    <mergeCell ref="B24:B27"/>
    <mergeCell ref="A20:A23"/>
    <mergeCell ref="B20:B23"/>
    <mergeCell ref="A48:A51"/>
    <mergeCell ref="B48:B51"/>
    <mergeCell ref="A44:B47"/>
    <mergeCell ref="A52:A55"/>
    <mergeCell ref="B52:B55"/>
    <mergeCell ref="A64:A67"/>
    <mergeCell ref="A10:G10"/>
    <mergeCell ref="C13:C14"/>
    <mergeCell ref="A13:A14"/>
    <mergeCell ref="A16:B19"/>
    <mergeCell ref="A36:A39"/>
    <mergeCell ref="B36:B39"/>
    <mergeCell ref="A32:A35"/>
    <mergeCell ref="D13:P13"/>
    <mergeCell ref="B32:B35"/>
    <mergeCell ref="A28:A31"/>
    <mergeCell ref="B28:B31"/>
    <mergeCell ref="B64:B67"/>
    <mergeCell ref="B60:B63"/>
    <mergeCell ref="A60:A63"/>
    <mergeCell ref="A56:A59"/>
    <mergeCell ref="B56:B59"/>
    <mergeCell ref="A83:B86"/>
    <mergeCell ref="A87:A90"/>
    <mergeCell ref="B87:B90"/>
    <mergeCell ref="A68:B71"/>
    <mergeCell ref="A72:A75"/>
    <mergeCell ref="B72:B75"/>
    <mergeCell ref="A76:A79"/>
    <mergeCell ref="B76:B79"/>
    <mergeCell ref="A80:A82"/>
    <mergeCell ref="B80:B82"/>
  </mergeCells>
  <printOptions horizontalCentered="1"/>
  <pageMargins left="0.78740157480314965" right="0.78740157480314965" top="0.59055118110236227" bottom="0.39370078740157483" header="0.31496062992125984" footer="0.31496062992125984"/>
  <pageSetup paperSize="9" scale="91" firstPageNumber="26" fitToHeight="0" orientation="portrait" useFirstPageNumber="1" r:id="rId1"/>
  <headerFooter differentOddEven="1" differentFirst="1">
    <oddHeader>&amp;C3</oddHeader>
    <evenHeader xml:space="preserve">&amp;C2
</evenHeader>
    <firstHeader xml:space="preserve">&amp;C
</first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19"/>
  <sheetViews>
    <sheetView zoomScale="93" zoomScaleNormal="93" workbookViewId="0">
      <selection activeCell="D18" sqref="D18"/>
    </sheetView>
  </sheetViews>
  <sheetFormatPr defaultRowHeight="12.75" x14ac:dyDescent="0.2"/>
  <cols>
    <col min="2" max="4" width="11.140625" customWidth="1"/>
    <col min="5" max="5" width="13" customWidth="1"/>
    <col min="6" max="6" width="38.5703125" customWidth="1"/>
    <col min="10" max="10" width="13.85546875" customWidth="1"/>
    <col min="11" max="11" width="11.7109375" bestFit="1" customWidth="1"/>
    <col min="12" max="12" width="12.5703125" bestFit="1" customWidth="1"/>
    <col min="13" max="13" width="13.42578125" customWidth="1"/>
    <col min="14" max="14" width="13.85546875" customWidth="1"/>
    <col min="15" max="15" width="11.42578125" customWidth="1"/>
  </cols>
  <sheetData>
    <row r="1" spans="1:15" ht="34.5" customHeight="1" x14ac:dyDescent="0.2">
      <c r="A1" s="1043" t="s">
        <v>48</v>
      </c>
      <c r="B1" s="1043" t="s">
        <v>4</v>
      </c>
      <c r="C1" s="1043" t="s">
        <v>49</v>
      </c>
      <c r="D1" s="1043" t="s">
        <v>50</v>
      </c>
      <c r="E1" s="1043"/>
      <c r="F1" s="1043" t="s">
        <v>53</v>
      </c>
      <c r="G1" s="1043" t="s">
        <v>17</v>
      </c>
      <c r="H1" s="1043"/>
      <c r="I1" s="1043"/>
      <c r="J1" s="1043"/>
      <c r="K1" s="1043" t="s">
        <v>12</v>
      </c>
      <c r="L1" s="1043"/>
      <c r="M1" s="1043"/>
      <c r="N1" s="1043"/>
      <c r="O1" s="1043"/>
    </row>
    <row r="2" spans="1:15" ht="51" x14ac:dyDescent="0.2">
      <c r="A2" s="1043"/>
      <c r="B2" s="1043"/>
      <c r="C2" s="1043"/>
      <c r="D2" s="2" t="s">
        <v>51</v>
      </c>
      <c r="E2" s="2" t="s">
        <v>52</v>
      </c>
      <c r="F2" s="1043"/>
      <c r="G2" s="2" t="s">
        <v>18</v>
      </c>
      <c r="H2" s="2" t="s">
        <v>19</v>
      </c>
      <c r="I2" s="2" t="s">
        <v>20</v>
      </c>
      <c r="J2" s="2" t="s">
        <v>58</v>
      </c>
      <c r="K2" s="2" t="s">
        <v>47</v>
      </c>
      <c r="L2" s="2" t="s">
        <v>46</v>
      </c>
      <c r="M2" s="2" t="s">
        <v>14</v>
      </c>
      <c r="N2" s="2" t="s">
        <v>15</v>
      </c>
      <c r="O2" s="2" t="s">
        <v>16</v>
      </c>
    </row>
    <row r="3" spans="1:15" x14ac:dyDescent="0.2">
      <c r="A3" s="2">
        <v>1</v>
      </c>
      <c r="B3" s="2">
        <v>2</v>
      </c>
      <c r="C3" s="2">
        <v>3</v>
      </c>
      <c r="D3" s="2">
        <v>4</v>
      </c>
      <c r="E3" s="2">
        <v>5</v>
      </c>
      <c r="F3" s="2">
        <v>6</v>
      </c>
      <c r="G3" s="2">
        <v>7</v>
      </c>
      <c r="H3" s="2">
        <v>8</v>
      </c>
      <c r="I3" s="2">
        <v>9</v>
      </c>
      <c r="J3" s="2">
        <v>10</v>
      </c>
      <c r="K3" s="2">
        <v>11</v>
      </c>
      <c r="L3" s="2">
        <v>12</v>
      </c>
      <c r="M3" s="2">
        <v>13</v>
      </c>
      <c r="N3" s="2">
        <v>14</v>
      </c>
      <c r="O3" s="2">
        <v>15</v>
      </c>
    </row>
    <row r="4" spans="1:15" ht="51" x14ac:dyDescent="0.2">
      <c r="A4" s="12" t="s">
        <v>63</v>
      </c>
      <c r="B4" s="13" t="s">
        <v>13</v>
      </c>
      <c r="C4" s="13" t="s">
        <v>13</v>
      </c>
      <c r="D4" s="13" t="s">
        <v>13</v>
      </c>
      <c r="E4" s="13" t="s">
        <v>13</v>
      </c>
      <c r="F4" s="10" t="s">
        <v>61</v>
      </c>
      <c r="G4" s="4"/>
      <c r="H4" s="4"/>
      <c r="I4" s="4"/>
      <c r="J4" s="9">
        <v>44256</v>
      </c>
      <c r="K4" s="14"/>
      <c r="L4" s="14"/>
      <c r="M4" s="14"/>
      <c r="N4" s="14"/>
      <c r="O4" s="14"/>
    </row>
    <row r="5" spans="1:15" s="20" customFormat="1" ht="38.25" x14ac:dyDescent="0.2">
      <c r="A5" s="15" t="s">
        <v>63</v>
      </c>
      <c r="B5" s="15" t="s">
        <v>65</v>
      </c>
      <c r="C5" s="15" t="s">
        <v>13</v>
      </c>
      <c r="D5" s="19" t="s">
        <v>13</v>
      </c>
      <c r="E5" s="19" t="s">
        <v>13</v>
      </c>
      <c r="F5" s="11" t="s">
        <v>62</v>
      </c>
      <c r="G5" s="16"/>
      <c r="H5" s="16"/>
      <c r="I5" s="16"/>
      <c r="J5" s="17"/>
      <c r="K5" s="18">
        <f>SUM(K6:K9)</f>
        <v>0</v>
      </c>
      <c r="L5" s="18">
        <f>SUM(L6:L9)</f>
        <v>2500000</v>
      </c>
      <c r="M5" s="18">
        <f>SUM(M6:M9)</f>
        <v>2500000</v>
      </c>
      <c r="N5" s="18">
        <f>SUM(N6:N9)</f>
        <v>0</v>
      </c>
      <c r="O5" s="18">
        <f>SUM(O6:O9)</f>
        <v>0</v>
      </c>
    </row>
    <row r="6" spans="1:15" ht="38.25" x14ac:dyDescent="0.2">
      <c r="A6" s="12" t="s">
        <v>63</v>
      </c>
      <c r="B6" s="12" t="s">
        <v>65</v>
      </c>
      <c r="C6" s="12" t="s">
        <v>68</v>
      </c>
      <c r="D6" s="12" t="s">
        <v>69</v>
      </c>
      <c r="E6" s="12" t="s">
        <v>70</v>
      </c>
      <c r="F6" s="5" t="s">
        <v>72</v>
      </c>
      <c r="G6" s="4" t="s">
        <v>73</v>
      </c>
      <c r="H6" s="4" t="s">
        <v>74</v>
      </c>
      <c r="I6" s="4">
        <v>150</v>
      </c>
      <c r="J6" s="9">
        <v>44531</v>
      </c>
      <c r="K6" s="14"/>
      <c r="L6" s="14">
        <f>SUM(M6:O6)</f>
        <v>1000000</v>
      </c>
      <c r="M6" s="14">
        <v>1000000</v>
      </c>
      <c r="N6" s="14"/>
      <c r="O6" s="14"/>
    </row>
    <row r="7" spans="1:15" ht="38.25" x14ac:dyDescent="0.2">
      <c r="A7" s="12" t="s">
        <v>63</v>
      </c>
      <c r="B7" s="12" t="s">
        <v>65</v>
      </c>
      <c r="C7" s="12" t="s">
        <v>68</v>
      </c>
      <c r="D7" s="12" t="s">
        <v>75</v>
      </c>
      <c r="E7" s="12" t="s">
        <v>76</v>
      </c>
      <c r="F7" s="5" t="s">
        <v>72</v>
      </c>
      <c r="G7" s="4" t="s">
        <v>73</v>
      </c>
      <c r="H7" s="4" t="s">
        <v>74</v>
      </c>
      <c r="I7" s="4">
        <v>200</v>
      </c>
      <c r="J7" s="9">
        <v>44532</v>
      </c>
      <c r="K7" s="14"/>
      <c r="L7" s="14">
        <f>SUM(M7:O7)</f>
        <v>1500000</v>
      </c>
      <c r="M7" s="14">
        <v>1500000</v>
      </c>
      <c r="N7" s="14"/>
      <c r="O7" s="14"/>
    </row>
    <row r="8" spans="1:15" x14ac:dyDescent="0.2">
      <c r="A8" s="12" t="s">
        <v>63</v>
      </c>
      <c r="B8" s="12" t="s">
        <v>65</v>
      </c>
      <c r="C8" s="12" t="s">
        <v>68</v>
      </c>
      <c r="D8" s="12"/>
      <c r="E8" s="12"/>
      <c r="F8" s="5" t="s">
        <v>1</v>
      </c>
      <c r="G8" s="4"/>
      <c r="H8" s="4"/>
      <c r="I8" s="4"/>
      <c r="J8" s="9"/>
      <c r="K8" s="14"/>
      <c r="L8" s="14">
        <f>SUM(M8:O8)</f>
        <v>0</v>
      </c>
      <c r="M8" s="14"/>
      <c r="N8" s="14"/>
      <c r="O8" s="14"/>
    </row>
    <row r="9" spans="1:15" x14ac:dyDescent="0.2">
      <c r="A9" s="12" t="s">
        <v>63</v>
      </c>
      <c r="B9" s="12" t="s">
        <v>65</v>
      </c>
      <c r="C9" s="12" t="s">
        <v>68</v>
      </c>
      <c r="D9" s="12"/>
      <c r="E9" s="12"/>
      <c r="F9" s="5" t="s">
        <v>9</v>
      </c>
      <c r="G9" s="4"/>
      <c r="H9" s="4"/>
      <c r="I9" s="4"/>
      <c r="J9" s="9"/>
      <c r="K9" s="14"/>
      <c r="L9" s="14">
        <f>SUM(M9:O9)</f>
        <v>0</v>
      </c>
      <c r="M9" s="14"/>
      <c r="N9" s="14"/>
      <c r="O9" s="14"/>
    </row>
    <row r="10" spans="1:15" ht="38.25" x14ac:dyDescent="0.2">
      <c r="A10" s="15" t="s">
        <v>63</v>
      </c>
      <c r="B10" s="15" t="s">
        <v>66</v>
      </c>
      <c r="C10" s="15" t="s">
        <v>68</v>
      </c>
      <c r="D10" s="15" t="s">
        <v>13</v>
      </c>
      <c r="E10" s="15" t="s">
        <v>13</v>
      </c>
      <c r="F10" s="11" t="s">
        <v>77</v>
      </c>
      <c r="G10" s="16"/>
      <c r="H10" s="16"/>
      <c r="I10" s="16"/>
      <c r="J10" s="17"/>
      <c r="K10" s="18">
        <f>SUM(K11:K14)</f>
        <v>200</v>
      </c>
      <c r="L10" s="18">
        <f>SUM(L11:L14)</f>
        <v>500</v>
      </c>
      <c r="M10" s="18">
        <f>SUM(M11:M14)</f>
        <v>500</v>
      </c>
      <c r="N10" s="18">
        <f>SUM(N11:N14)</f>
        <v>0</v>
      </c>
      <c r="O10" s="18">
        <f>SUM(O11:O14)</f>
        <v>0</v>
      </c>
    </row>
    <row r="11" spans="1:15" x14ac:dyDescent="0.2">
      <c r="A11" s="12" t="s">
        <v>63</v>
      </c>
      <c r="B11" s="12" t="s">
        <v>66</v>
      </c>
      <c r="C11" s="12" t="s">
        <v>68</v>
      </c>
      <c r="D11" s="12" t="s">
        <v>75</v>
      </c>
      <c r="E11" s="12" t="s">
        <v>76</v>
      </c>
      <c r="F11" s="5" t="s">
        <v>71</v>
      </c>
      <c r="G11" s="4"/>
      <c r="H11" s="4" t="s">
        <v>79</v>
      </c>
      <c r="I11" s="4">
        <v>1</v>
      </c>
      <c r="J11" s="9">
        <v>44470</v>
      </c>
      <c r="K11" s="14"/>
      <c r="L11" s="14">
        <f>SUM(M11:O11)</f>
        <v>500</v>
      </c>
      <c r="M11" s="14">
        <v>500</v>
      </c>
      <c r="N11" s="14"/>
      <c r="O11" s="14"/>
    </row>
    <row r="12" spans="1:15" x14ac:dyDescent="0.2">
      <c r="A12" s="12" t="s">
        <v>63</v>
      </c>
      <c r="B12" s="12" t="s">
        <v>66</v>
      </c>
      <c r="C12" s="12" t="s">
        <v>68</v>
      </c>
      <c r="D12" s="12" t="s">
        <v>75</v>
      </c>
      <c r="E12" s="12" t="s">
        <v>76</v>
      </c>
      <c r="F12" s="5" t="s">
        <v>78</v>
      </c>
      <c r="G12" s="4"/>
      <c r="H12" s="4" t="s">
        <v>79</v>
      </c>
      <c r="I12" s="4">
        <v>1</v>
      </c>
      <c r="J12" s="9">
        <v>44228</v>
      </c>
      <c r="K12" s="14">
        <v>200</v>
      </c>
      <c r="L12" s="14">
        <f t="shared" ref="L12:L18" si="0">SUM(M12:O12)</f>
        <v>0</v>
      </c>
      <c r="M12" s="14">
        <v>0</v>
      </c>
      <c r="N12" s="14"/>
      <c r="O12" s="14"/>
    </row>
    <row r="13" spans="1:15" x14ac:dyDescent="0.2">
      <c r="A13" s="12" t="s">
        <v>63</v>
      </c>
      <c r="B13" s="12" t="s">
        <v>66</v>
      </c>
      <c r="C13" s="12" t="s">
        <v>68</v>
      </c>
      <c r="D13" s="12"/>
      <c r="E13" s="12"/>
      <c r="F13" s="5" t="s">
        <v>1</v>
      </c>
      <c r="G13" s="4"/>
      <c r="H13" s="4"/>
      <c r="I13" s="4"/>
      <c r="J13" s="9"/>
      <c r="K13" s="14"/>
      <c r="L13" s="14">
        <f t="shared" si="0"/>
        <v>0</v>
      </c>
      <c r="M13" s="14"/>
      <c r="N13" s="14"/>
      <c r="O13" s="14"/>
    </row>
    <row r="14" spans="1:15" x14ac:dyDescent="0.2">
      <c r="A14" s="12" t="s">
        <v>63</v>
      </c>
      <c r="B14" s="12" t="s">
        <v>66</v>
      </c>
      <c r="C14" s="12" t="s">
        <v>68</v>
      </c>
      <c r="D14" s="12"/>
      <c r="E14" s="12"/>
      <c r="F14" s="5" t="s">
        <v>9</v>
      </c>
      <c r="G14" s="4"/>
      <c r="H14" s="4"/>
      <c r="I14" s="4"/>
      <c r="J14" s="9"/>
      <c r="K14" s="14"/>
      <c r="L14" s="14">
        <f t="shared" si="0"/>
        <v>0</v>
      </c>
      <c r="M14" s="14"/>
      <c r="N14" s="14"/>
      <c r="O14" s="14"/>
    </row>
    <row r="15" spans="1:15" ht="51" x14ac:dyDescent="0.2">
      <c r="A15" s="12" t="s">
        <v>64</v>
      </c>
      <c r="B15" s="13" t="s">
        <v>13</v>
      </c>
      <c r="C15" s="13" t="s">
        <v>13</v>
      </c>
      <c r="D15" s="13" t="s">
        <v>13</v>
      </c>
      <c r="E15" s="13" t="s">
        <v>13</v>
      </c>
      <c r="F15" s="10" t="s">
        <v>80</v>
      </c>
      <c r="G15" s="4"/>
      <c r="H15" s="4"/>
      <c r="I15" s="4"/>
      <c r="J15" s="9"/>
      <c r="K15" s="14"/>
      <c r="L15" s="14">
        <f t="shared" si="0"/>
        <v>0</v>
      </c>
      <c r="M15" s="14"/>
      <c r="N15" s="14"/>
      <c r="O15" s="14"/>
    </row>
    <row r="16" spans="1:15" ht="76.5" x14ac:dyDescent="0.2">
      <c r="A16" s="12" t="s">
        <v>64</v>
      </c>
      <c r="B16" s="12" t="s">
        <v>67</v>
      </c>
      <c r="C16" s="12" t="s">
        <v>13</v>
      </c>
      <c r="D16" s="12" t="s">
        <v>13</v>
      </c>
      <c r="E16" s="12" t="s">
        <v>13</v>
      </c>
      <c r="F16" s="21" t="s">
        <v>81</v>
      </c>
      <c r="G16" s="4"/>
      <c r="H16" s="4"/>
      <c r="I16" s="4"/>
      <c r="J16" s="9"/>
      <c r="K16" s="14"/>
      <c r="L16" s="14">
        <f t="shared" si="0"/>
        <v>0</v>
      </c>
      <c r="M16" s="14"/>
      <c r="N16" s="14"/>
      <c r="O16" s="14"/>
    </row>
    <row r="17" spans="1:15" ht="25.5" x14ac:dyDescent="0.2">
      <c r="A17" s="12" t="s">
        <v>64</v>
      </c>
      <c r="B17" s="12" t="s">
        <v>67</v>
      </c>
      <c r="C17" s="12">
        <v>804</v>
      </c>
      <c r="D17" s="12">
        <v>11115</v>
      </c>
      <c r="E17" s="12" t="s">
        <v>83</v>
      </c>
      <c r="F17" s="21" t="s">
        <v>82</v>
      </c>
      <c r="G17" s="4" t="s">
        <v>84</v>
      </c>
      <c r="H17" s="4" t="s">
        <v>85</v>
      </c>
      <c r="I17" s="4">
        <v>200</v>
      </c>
      <c r="J17" s="9">
        <v>44531</v>
      </c>
      <c r="K17" s="14">
        <v>50000000</v>
      </c>
      <c r="L17" s="14">
        <f t="shared" si="0"/>
        <v>262000000</v>
      </c>
      <c r="M17" s="14">
        <v>10000000</v>
      </c>
      <c r="N17" s="14">
        <v>252000000</v>
      </c>
      <c r="O17" s="14"/>
    </row>
    <row r="18" spans="1:15" ht="25.5" x14ac:dyDescent="0.2">
      <c r="A18" s="12" t="s">
        <v>64</v>
      </c>
      <c r="B18" s="12" t="s">
        <v>67</v>
      </c>
      <c r="C18" s="12" t="s">
        <v>86</v>
      </c>
      <c r="D18" s="12" t="s">
        <v>87</v>
      </c>
      <c r="E18" s="12" t="s">
        <v>88</v>
      </c>
      <c r="F18" s="21" t="s">
        <v>89</v>
      </c>
      <c r="G18" s="4" t="s">
        <v>84</v>
      </c>
      <c r="H18" s="4" t="s">
        <v>85</v>
      </c>
      <c r="I18" s="4">
        <v>350</v>
      </c>
      <c r="J18" s="9">
        <v>44743</v>
      </c>
      <c r="K18" s="14"/>
      <c r="L18" s="14">
        <f t="shared" si="0"/>
        <v>0</v>
      </c>
      <c r="M18" s="14"/>
      <c r="N18" s="14"/>
      <c r="O18" s="14"/>
    </row>
    <row r="19" spans="1:15" ht="147.75" customHeight="1" x14ac:dyDescent="0.2">
      <c r="A19" s="1044" t="s">
        <v>60</v>
      </c>
      <c r="B19" s="1044"/>
      <c r="C19" s="1044"/>
      <c r="D19" s="1044"/>
      <c r="E19" s="1044"/>
      <c r="F19" s="1044"/>
      <c r="G19" s="1044"/>
      <c r="H19" s="1044"/>
      <c r="I19" s="1044"/>
      <c r="J19" s="1044"/>
      <c r="K19" s="1044"/>
      <c r="L19" s="1044"/>
      <c r="M19" s="1044"/>
      <c r="N19" s="1044"/>
      <c r="O19" s="1044"/>
    </row>
  </sheetData>
  <autoFilter ref="A3:O16" xr:uid="{00000000-0009-0000-0000-000007000000}"/>
  <mergeCells count="8">
    <mergeCell ref="K1:O1"/>
    <mergeCell ref="A19:O19"/>
    <mergeCell ref="A1:A2"/>
    <mergeCell ref="B1:B2"/>
    <mergeCell ref="C1:C2"/>
    <mergeCell ref="D1:E1"/>
    <mergeCell ref="F1:F2"/>
    <mergeCell ref="G1:J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20"/>
  <sheetViews>
    <sheetView workbookViewId="0">
      <selection sqref="A1:A2"/>
    </sheetView>
  </sheetViews>
  <sheetFormatPr defaultRowHeight="12.75" x14ac:dyDescent="0.2"/>
  <cols>
    <col min="2" max="2" width="8.42578125" customWidth="1"/>
    <col min="3" max="3" width="26.7109375" customWidth="1"/>
    <col min="4" max="4" width="17.5703125" customWidth="1"/>
    <col min="7" max="7" width="9.140625" style="8" customWidth="1"/>
    <col min="12" max="12" width="13.140625" customWidth="1"/>
    <col min="13" max="13" width="11" customWidth="1"/>
    <col min="16" max="16" width="12.85546875" customWidth="1"/>
  </cols>
  <sheetData>
    <row r="1" spans="1:17" x14ac:dyDescent="0.2">
      <c r="A1" t="s">
        <v>125</v>
      </c>
    </row>
    <row r="2" spans="1:17" x14ac:dyDescent="0.2">
      <c r="A2" t="s">
        <v>126</v>
      </c>
    </row>
    <row r="5" spans="1:17" ht="64.5" customHeight="1" x14ac:dyDescent="0.2">
      <c r="A5" s="1043" t="s">
        <v>3</v>
      </c>
      <c r="B5" s="1043" t="s">
        <v>4</v>
      </c>
      <c r="C5" s="1043" t="s">
        <v>10</v>
      </c>
      <c r="D5" s="1043" t="s">
        <v>6</v>
      </c>
      <c r="E5" s="1043" t="s">
        <v>17</v>
      </c>
      <c r="F5" s="1043"/>
      <c r="G5" s="1043"/>
      <c r="H5" s="1043"/>
      <c r="I5" s="1043"/>
      <c r="J5" s="1043"/>
      <c r="K5" s="1043" t="s">
        <v>37</v>
      </c>
      <c r="L5" s="1043"/>
      <c r="M5" s="1043"/>
      <c r="N5" s="1043"/>
      <c r="O5" s="1043"/>
      <c r="P5" s="1045" t="s">
        <v>45</v>
      </c>
    </row>
    <row r="6" spans="1:17" ht="76.5" x14ac:dyDescent="0.2">
      <c r="A6" s="1043"/>
      <c r="B6" s="1043"/>
      <c r="C6" s="1043"/>
      <c r="D6" s="1043"/>
      <c r="E6" s="2" t="s">
        <v>18</v>
      </c>
      <c r="F6" s="2" t="s">
        <v>19</v>
      </c>
      <c r="G6" s="6" t="s">
        <v>38</v>
      </c>
      <c r="H6" s="2" t="s">
        <v>39</v>
      </c>
      <c r="I6" s="2" t="s">
        <v>40</v>
      </c>
      <c r="J6" s="2" t="s">
        <v>41</v>
      </c>
      <c r="K6" s="2" t="s">
        <v>38</v>
      </c>
      <c r="L6" s="2" t="s">
        <v>42</v>
      </c>
      <c r="M6" s="2" t="s">
        <v>40</v>
      </c>
      <c r="N6" s="2" t="s">
        <v>43</v>
      </c>
      <c r="O6" s="2" t="s">
        <v>44</v>
      </c>
      <c r="P6" s="1046"/>
    </row>
    <row r="7" spans="1:17" x14ac:dyDescent="0.2">
      <c r="A7" s="2">
        <v>1</v>
      </c>
      <c r="B7" s="2">
        <v>2</v>
      </c>
      <c r="C7" s="2">
        <v>3</v>
      </c>
      <c r="D7" s="2">
        <v>4</v>
      </c>
      <c r="E7" s="2">
        <v>5</v>
      </c>
      <c r="F7" s="2">
        <v>6</v>
      </c>
      <c r="G7" s="6">
        <v>7</v>
      </c>
      <c r="H7" s="2">
        <v>8</v>
      </c>
      <c r="I7" s="2">
        <v>9</v>
      </c>
      <c r="J7" s="2">
        <v>10</v>
      </c>
      <c r="K7" s="2">
        <v>11</v>
      </c>
      <c r="L7" s="2">
        <v>12</v>
      </c>
      <c r="M7" s="2">
        <v>13</v>
      </c>
      <c r="N7" s="2">
        <v>14</v>
      </c>
      <c r="O7" s="2">
        <v>15</v>
      </c>
      <c r="P7" s="2">
        <v>16</v>
      </c>
    </row>
    <row r="8" spans="1:17" ht="25.5" x14ac:dyDescent="0.2">
      <c r="A8" s="3" t="s">
        <v>21</v>
      </c>
      <c r="B8" s="3">
        <v>0</v>
      </c>
      <c r="C8" s="4" t="s">
        <v>22</v>
      </c>
      <c r="D8" s="2"/>
      <c r="E8" s="4"/>
      <c r="F8" s="4"/>
      <c r="G8" s="7"/>
      <c r="H8" s="4"/>
      <c r="I8" s="4"/>
      <c r="J8" s="4"/>
      <c r="K8" s="4"/>
      <c r="L8" s="4"/>
      <c r="M8" s="4"/>
      <c r="N8" s="1"/>
      <c r="O8" s="1"/>
      <c r="P8" s="1"/>
    </row>
    <row r="9" spans="1:17" ht="25.5" x14ac:dyDescent="0.2">
      <c r="A9" s="3" t="s">
        <v>23</v>
      </c>
      <c r="B9" s="3" t="s">
        <v>5</v>
      </c>
      <c r="C9" s="4" t="s">
        <v>24</v>
      </c>
      <c r="D9" s="4"/>
      <c r="E9" s="4"/>
      <c r="F9" s="4"/>
      <c r="G9" s="7"/>
      <c r="H9" s="4"/>
      <c r="I9" s="4"/>
      <c r="J9" s="4"/>
      <c r="K9" s="4"/>
      <c r="L9" s="4"/>
      <c r="M9" s="4"/>
      <c r="N9" s="1"/>
      <c r="O9" s="1"/>
      <c r="P9" s="1"/>
    </row>
    <row r="10" spans="1:17" x14ac:dyDescent="0.2">
      <c r="A10" s="3" t="s">
        <v>25</v>
      </c>
      <c r="B10" s="3"/>
      <c r="C10" s="5" t="s">
        <v>7</v>
      </c>
      <c r="D10" s="4"/>
      <c r="E10" s="4"/>
      <c r="F10" s="4"/>
      <c r="G10" s="7"/>
      <c r="H10" s="4"/>
      <c r="I10" s="4"/>
      <c r="J10" s="4"/>
      <c r="K10" s="4"/>
      <c r="L10" s="4"/>
      <c r="M10" s="4"/>
      <c r="N10" s="1">
        <v>10000</v>
      </c>
      <c r="O10" s="1">
        <v>450</v>
      </c>
      <c r="P10" s="1"/>
      <c r="Q10">
        <f>N10-O10</f>
        <v>9550</v>
      </c>
    </row>
    <row r="11" spans="1:17" x14ac:dyDescent="0.2">
      <c r="A11" s="3" t="s">
        <v>26</v>
      </c>
      <c r="B11" s="3"/>
      <c r="C11" s="5" t="s">
        <v>8</v>
      </c>
      <c r="D11" s="4"/>
      <c r="E11" s="4"/>
      <c r="F11" s="4"/>
      <c r="G11" s="7"/>
      <c r="H11" s="4"/>
      <c r="I11" s="4"/>
      <c r="J11" s="4"/>
      <c r="K11" s="4"/>
      <c r="L11" s="4"/>
      <c r="M11" s="4"/>
      <c r="N11" s="1"/>
      <c r="O11" s="1"/>
      <c r="P11" s="1"/>
    </row>
    <row r="12" spans="1:17" x14ac:dyDescent="0.2">
      <c r="A12" s="3"/>
      <c r="B12" s="3"/>
      <c r="C12" s="5" t="s">
        <v>1</v>
      </c>
      <c r="D12" s="4"/>
      <c r="E12" s="4"/>
      <c r="F12" s="4"/>
      <c r="G12" s="7"/>
      <c r="H12" s="4"/>
      <c r="I12" s="4"/>
      <c r="J12" s="4"/>
      <c r="K12" s="4"/>
      <c r="L12" s="4"/>
      <c r="M12" s="4"/>
      <c r="N12" s="1"/>
      <c r="O12" s="1"/>
      <c r="P12" s="1"/>
    </row>
    <row r="13" spans="1:17" x14ac:dyDescent="0.2">
      <c r="A13" s="3" t="s">
        <v>27</v>
      </c>
      <c r="B13" s="3"/>
      <c r="C13" s="5" t="s">
        <v>9</v>
      </c>
      <c r="D13" s="4"/>
      <c r="E13" s="4"/>
      <c r="F13" s="4"/>
      <c r="G13" s="7"/>
      <c r="H13" s="4"/>
      <c r="I13" s="4"/>
      <c r="J13" s="4"/>
      <c r="K13" s="4"/>
      <c r="L13" s="4"/>
      <c r="M13" s="4"/>
      <c r="N13" s="1"/>
      <c r="O13" s="1"/>
      <c r="P13" s="1"/>
    </row>
    <row r="14" spans="1:17" ht="25.5" x14ac:dyDescent="0.2">
      <c r="A14" s="3" t="s">
        <v>28</v>
      </c>
      <c r="B14" s="3" t="s">
        <v>5</v>
      </c>
      <c r="C14" s="5" t="s">
        <v>29</v>
      </c>
      <c r="D14" s="4"/>
      <c r="E14" s="4"/>
      <c r="F14" s="4"/>
      <c r="G14" s="7"/>
      <c r="H14" s="4"/>
      <c r="I14" s="4"/>
      <c r="J14" s="4"/>
      <c r="K14" s="4"/>
      <c r="L14" s="4"/>
      <c r="M14" s="4"/>
      <c r="N14" s="1"/>
      <c r="O14" s="1"/>
      <c r="P14" s="1"/>
    </row>
    <row r="15" spans="1:17" x14ac:dyDescent="0.2">
      <c r="A15" s="3" t="s">
        <v>30</v>
      </c>
      <c r="B15" s="3"/>
      <c r="C15" s="5" t="s">
        <v>0</v>
      </c>
      <c r="D15" s="4"/>
      <c r="E15" s="4"/>
      <c r="F15" s="4"/>
      <c r="G15" s="7"/>
      <c r="H15" s="4"/>
      <c r="I15" s="4"/>
      <c r="J15" s="4"/>
      <c r="K15" s="4"/>
      <c r="L15" s="4"/>
      <c r="M15" s="4"/>
      <c r="N15" s="1"/>
      <c r="O15" s="1"/>
      <c r="P15" s="1"/>
    </row>
    <row r="16" spans="1:17" x14ac:dyDescent="0.2">
      <c r="A16" s="3" t="s">
        <v>31</v>
      </c>
      <c r="B16" s="3"/>
      <c r="C16" s="5" t="s">
        <v>2</v>
      </c>
      <c r="D16" s="4"/>
      <c r="E16" s="4"/>
      <c r="F16" s="4"/>
      <c r="G16" s="7"/>
      <c r="H16" s="4"/>
      <c r="I16" s="4"/>
      <c r="J16" s="4"/>
      <c r="K16" s="4"/>
      <c r="L16" s="4"/>
      <c r="M16" s="4"/>
      <c r="N16" s="1"/>
      <c r="O16" s="1"/>
      <c r="P16" s="1"/>
    </row>
    <row r="17" spans="1:16" x14ac:dyDescent="0.2">
      <c r="A17" s="3" t="s">
        <v>1</v>
      </c>
      <c r="B17" s="3"/>
      <c r="C17" s="5" t="s">
        <v>1</v>
      </c>
      <c r="D17" s="4"/>
      <c r="E17" s="4"/>
      <c r="F17" s="4"/>
      <c r="G17" s="7"/>
      <c r="H17" s="4"/>
      <c r="I17" s="4"/>
      <c r="J17" s="4"/>
      <c r="K17" s="4"/>
      <c r="L17" s="4"/>
      <c r="M17" s="4"/>
      <c r="N17" s="1"/>
      <c r="O17" s="1"/>
      <c r="P17" s="1"/>
    </row>
    <row r="18" spans="1:16" x14ac:dyDescent="0.2">
      <c r="A18" s="3" t="s">
        <v>32</v>
      </c>
      <c r="B18" s="3"/>
      <c r="C18" s="5" t="s">
        <v>11</v>
      </c>
      <c r="D18" s="4"/>
      <c r="E18" s="4"/>
      <c r="F18" s="4"/>
      <c r="G18" s="7"/>
      <c r="H18" s="4"/>
      <c r="I18" s="4"/>
      <c r="J18" s="4"/>
      <c r="K18" s="4"/>
      <c r="L18" s="4"/>
      <c r="M18" s="4"/>
      <c r="N18" s="1"/>
      <c r="O18" s="1"/>
      <c r="P18" s="1"/>
    </row>
    <row r="19" spans="1:16" ht="25.5" x14ac:dyDescent="0.2">
      <c r="A19" s="3" t="s">
        <v>33</v>
      </c>
      <c r="B19" s="3"/>
      <c r="C19" s="4" t="s">
        <v>34</v>
      </c>
      <c r="D19" s="4"/>
      <c r="E19" s="4"/>
      <c r="F19" s="4"/>
      <c r="G19" s="7"/>
      <c r="H19" s="4"/>
      <c r="I19" s="4"/>
      <c r="J19" s="4"/>
      <c r="K19" s="4"/>
      <c r="L19" s="4"/>
      <c r="M19" s="4"/>
      <c r="N19" s="1"/>
      <c r="O19" s="1"/>
      <c r="P19" s="1"/>
    </row>
    <row r="20" spans="1:16" x14ac:dyDescent="0.2">
      <c r="A20" s="3" t="s">
        <v>35</v>
      </c>
      <c r="B20" s="3" t="s">
        <v>36</v>
      </c>
      <c r="C20" s="4" t="s">
        <v>35</v>
      </c>
      <c r="D20" s="4"/>
      <c r="E20" s="4"/>
      <c r="F20" s="4"/>
      <c r="G20" s="7"/>
      <c r="H20" s="4"/>
      <c r="I20" s="4"/>
      <c r="J20" s="4"/>
      <c r="K20" s="4"/>
      <c r="L20" s="4"/>
      <c r="M20" s="4"/>
      <c r="N20" s="1"/>
      <c r="O20" s="1"/>
      <c r="P20" s="1"/>
    </row>
  </sheetData>
  <mergeCells count="7">
    <mergeCell ref="E5:J5"/>
    <mergeCell ref="K5:O5"/>
    <mergeCell ref="P5:P6"/>
    <mergeCell ref="A5:A6"/>
    <mergeCell ref="B5:B6"/>
    <mergeCell ref="C5:C6"/>
    <mergeCell ref="D5:D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21</vt:i4>
      </vt:variant>
      <vt:variant>
        <vt:lpstr>Именованные диапазоны</vt:lpstr>
      </vt:variant>
      <vt:variant>
        <vt:i4>18</vt:i4>
      </vt:variant>
    </vt:vector>
  </HeadingPairs>
  <TitlesOfParts>
    <vt:vector size="39" baseType="lpstr">
      <vt:lpstr>2021 МП Приложение 1</vt:lpstr>
      <vt:lpstr>2022 МП Приложение 1</vt:lpstr>
      <vt:lpstr>Приложение 2</vt:lpstr>
      <vt:lpstr>2021 МП Приложение 3 Систем</vt:lpstr>
      <vt:lpstr>2022 МП Приложение 3 Система</vt:lpstr>
      <vt:lpstr>2021_Приложение 4 Деньги</vt:lpstr>
      <vt:lpstr>2022 МП Приложение 4 Деньги</vt:lpstr>
      <vt:lpstr>пример</vt:lpstr>
      <vt:lpstr>квартальный отчет Вариант 1</vt:lpstr>
      <vt:lpstr>Приложение 5 План 2021</vt:lpstr>
      <vt:lpstr>Приложение 5 План 2022</vt:lpstr>
      <vt:lpstr>Приложение 6</vt:lpstr>
      <vt:lpstr>Приложение 7</vt:lpstr>
      <vt:lpstr>Приложение 5 План 2022-2024</vt:lpstr>
      <vt:lpstr>02.09.2022</vt:lpstr>
      <vt:lpstr>01 проект 2025</vt:lpstr>
      <vt:lpstr>01 процесс 2025</vt:lpstr>
      <vt:lpstr>02 процесс 2025</vt:lpstr>
      <vt:lpstr>03 процесс 2025</vt:lpstr>
      <vt:lpstr>04 процесс 2025 </vt:lpstr>
      <vt:lpstr>Ноябрь</vt:lpstr>
      <vt:lpstr>'01 проект 2025'!Заголовки_для_печати</vt:lpstr>
      <vt:lpstr>'01 процесс 2025'!Заголовки_для_печати</vt:lpstr>
      <vt:lpstr>'02 процесс 2025'!Заголовки_для_печати</vt:lpstr>
      <vt:lpstr>'02.09.2022'!Заголовки_для_печати</vt:lpstr>
      <vt:lpstr>'03 процесс 2025'!Заголовки_для_печати</vt:lpstr>
      <vt:lpstr>'04 процесс 2025 '!Заголовки_для_печати</vt:lpstr>
      <vt:lpstr>'2021 МП Приложение 3 Систем'!Заголовки_для_печати</vt:lpstr>
      <vt:lpstr>'2021_Приложение 4 Деньги'!Заголовки_для_печати</vt:lpstr>
      <vt:lpstr>'2022 МП Приложение 3 Система'!Заголовки_для_печати</vt:lpstr>
      <vt:lpstr>'2022 МП Приложение 4 Деньги'!Заголовки_для_печати</vt:lpstr>
      <vt:lpstr>Ноябрь!Заголовки_для_печати</vt:lpstr>
      <vt:lpstr>'Приложение 5 План 2021'!Заголовки_для_печати</vt:lpstr>
      <vt:lpstr>'Приложение 5 План 2022'!Заголовки_для_печати</vt:lpstr>
      <vt:lpstr>'Приложение 5 План 2022-2024'!Заголовки_для_печати</vt:lpstr>
      <vt:lpstr>'Приложение 6'!Заголовки_для_печати</vt:lpstr>
      <vt:lpstr>'Приложение 7'!Заголовки_для_печати</vt:lpstr>
      <vt:lpstr>'2021_Приложение 4 Деньги'!Область_печати</vt:lpstr>
      <vt:lpstr>'2022 МП Приложение 4 Деньги'!Область_печати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Охотникова</dc:creator>
  <cp:lastModifiedBy>Задоркина Татьяна Александровна</cp:lastModifiedBy>
  <cp:lastPrinted>2025-02-13T12:59:42Z</cp:lastPrinted>
  <dcterms:created xsi:type="dcterms:W3CDTF">2020-09-17T13:48:54Z</dcterms:created>
  <dcterms:modified xsi:type="dcterms:W3CDTF">2025-02-14T10:01:45Z</dcterms:modified>
</cp:coreProperties>
</file>