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2"/>
  </bookViews>
  <sheets>
    <sheet name="прилож. 1." sheetId="3" r:id="rId1"/>
    <sheet name="Прилож. 4." sheetId="1" r:id="rId2"/>
    <sheet name="Прилож. 5." sheetId="2" r:id="rId3"/>
  </sheets>
  <calcPr calcId="145621"/>
</workbook>
</file>

<file path=xl/calcChain.xml><?xml version="1.0" encoding="utf-8"?>
<calcChain xmlns="http://schemas.openxmlformats.org/spreadsheetml/2006/main">
  <c r="G57" i="2" l="1"/>
  <c r="H57" i="2"/>
  <c r="D226" i="2"/>
  <c r="E196" i="2" l="1"/>
  <c r="K193" i="2"/>
  <c r="K196" i="2" s="1"/>
  <c r="K192" i="2"/>
  <c r="K186" i="2"/>
  <c r="K185" i="2"/>
  <c r="I186" i="2"/>
  <c r="H196" i="2" s="1"/>
  <c r="I185" i="2"/>
  <c r="E185" i="2"/>
  <c r="D185" i="2"/>
  <c r="K178" i="2"/>
  <c r="K177" i="2"/>
  <c r="K197" i="2" s="1"/>
  <c r="K176" i="2"/>
  <c r="I178" i="2"/>
  <c r="I177" i="2"/>
  <c r="H197" i="2" s="1"/>
  <c r="I176" i="2"/>
  <c r="E176" i="2"/>
  <c r="D176" i="2"/>
  <c r="D166" i="2"/>
  <c r="E166" i="2"/>
  <c r="K166" i="2"/>
  <c r="K167" i="2"/>
  <c r="I167" i="2"/>
  <c r="I166" i="2"/>
  <c r="D157" i="2"/>
  <c r="K148" i="2"/>
  <c r="L148" i="2"/>
  <c r="K147" i="2"/>
  <c r="L147" i="2"/>
  <c r="K145" i="2"/>
  <c r="G146" i="2"/>
  <c r="K146" i="2" s="1"/>
  <c r="H146" i="2"/>
  <c r="L146" i="2" s="1"/>
  <c r="H145" i="2"/>
  <c r="K187" i="2" l="1"/>
  <c r="K168" i="2"/>
  <c r="K179" i="2"/>
  <c r="K157" i="2"/>
  <c r="K198" i="2" s="1"/>
  <c r="I157" i="2"/>
  <c r="H198" i="2" s="1"/>
  <c r="L126" i="2"/>
  <c r="K200" i="2" l="1"/>
  <c r="E117" i="2"/>
  <c r="D117" i="2"/>
  <c r="D112" i="2"/>
  <c r="E112" i="2"/>
  <c r="L112" i="2"/>
  <c r="K105" i="2"/>
  <c r="L105" i="2"/>
  <c r="E105" i="2"/>
  <c r="E99" i="2"/>
  <c r="D99" i="2"/>
  <c r="L92" i="2"/>
  <c r="L87" i="2" l="1"/>
  <c r="E87" i="2"/>
  <c r="D87" i="2"/>
  <c r="D92" i="2" s="1"/>
  <c r="K82" i="2"/>
  <c r="K205" i="2" s="1"/>
  <c r="K80" i="2"/>
  <c r="K203" i="2" s="1"/>
  <c r="E79" i="2"/>
  <c r="E202" i="2" s="1"/>
  <c r="D79" i="2"/>
  <c r="D202" i="2" s="1"/>
  <c r="L49" i="2"/>
  <c r="K44" i="2" l="1"/>
  <c r="H44" i="2"/>
  <c r="L43" i="2"/>
  <c r="E43" i="2"/>
  <c r="H36" i="2"/>
  <c r="H82" i="2" s="1"/>
  <c r="H205" i="2" s="1"/>
  <c r="H34" i="2"/>
  <c r="H80" i="2" s="1"/>
  <c r="H203" i="2" s="1"/>
  <c r="K77" i="2"/>
  <c r="K76" i="2"/>
  <c r="H77" i="2"/>
  <c r="H79" i="2" s="1"/>
  <c r="H202" i="2" s="1"/>
  <c r="H76" i="2"/>
  <c r="L75" i="2"/>
  <c r="K75" i="2"/>
  <c r="E75" i="2"/>
  <c r="D75" i="2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156" i="2" l="1"/>
  <c r="F155" i="2"/>
  <c r="F154" i="2"/>
  <c r="F153" i="2"/>
  <c r="F152" i="2"/>
  <c r="F151" i="2"/>
  <c r="F150" i="2"/>
  <c r="F149" i="2"/>
  <c r="I148" i="2"/>
  <c r="F148" i="2"/>
  <c r="I147" i="2"/>
  <c r="E147" i="2"/>
  <c r="E146" i="2"/>
  <c r="I145" i="2"/>
  <c r="L145" i="2" s="1"/>
  <c r="E145" i="2"/>
  <c r="F147" i="2" l="1"/>
  <c r="F146" i="2"/>
  <c r="E157" i="2"/>
  <c r="F145" i="2"/>
  <c r="M148" i="2"/>
  <c r="I146" i="2"/>
  <c r="E126" i="2" l="1"/>
  <c r="D126" i="2"/>
  <c r="F124" i="2"/>
  <c r="I120" i="2" l="1"/>
  <c r="M120" i="2" s="1"/>
  <c r="L116" i="2"/>
  <c r="K116" i="2"/>
  <c r="I116" i="2"/>
  <c r="M116" i="2" s="1"/>
  <c r="E31" i="2" l="1"/>
  <c r="D31" i="2"/>
  <c r="L30" i="2"/>
  <c r="M30" i="2" s="1"/>
  <c r="I30" i="2"/>
  <c r="E30" i="2"/>
  <c r="D30" i="2"/>
  <c r="G29" i="2"/>
  <c r="I29" i="2" s="1"/>
  <c r="E29" i="2"/>
  <c r="D29" i="2"/>
  <c r="G28" i="2"/>
  <c r="I28" i="2" s="1"/>
  <c r="L27" i="2"/>
  <c r="K27" i="2"/>
  <c r="G27" i="2"/>
  <c r="I27" i="2" s="1"/>
  <c r="E27" i="2"/>
  <c r="D27" i="2"/>
  <c r="E25" i="2"/>
  <c r="F25" i="2" s="1"/>
  <c r="E23" i="2"/>
  <c r="D23" i="2"/>
  <c r="E20" i="2"/>
  <c r="F20" i="2" s="1"/>
  <c r="H18" i="2"/>
  <c r="E18" i="2"/>
  <c r="F18" i="2" s="1"/>
  <c r="E17" i="2"/>
  <c r="F17" i="2" s="1"/>
  <c r="K16" i="2"/>
  <c r="H16" i="2"/>
  <c r="L16" i="2" s="1"/>
  <c r="K33" i="2" s="1"/>
  <c r="K79" i="2" s="1"/>
  <c r="K202" i="2" s="1"/>
  <c r="G16" i="2"/>
  <c r="E16" i="2"/>
  <c r="D16" i="2"/>
  <c r="F15" i="2"/>
  <c r="F14" i="2"/>
  <c r="F13" i="2"/>
  <c r="E32" i="2" l="1"/>
  <c r="F30" i="2"/>
  <c r="K32" i="2"/>
  <c r="L18" i="2"/>
  <c r="M18" i="2" s="1"/>
  <c r="H35" i="2"/>
  <c r="H81" i="2" s="1"/>
  <c r="H204" i="2" s="1"/>
  <c r="D32" i="2"/>
  <c r="M27" i="2"/>
  <c r="F29" i="2"/>
  <c r="I18" i="2"/>
  <c r="F23" i="2"/>
  <c r="F27" i="2"/>
  <c r="F31" i="2"/>
  <c r="M16" i="2"/>
  <c r="F16" i="2"/>
  <c r="I16" i="2"/>
  <c r="L32" i="2" l="1"/>
  <c r="H59" i="2"/>
  <c r="G59" i="2"/>
  <c r="D59" i="2"/>
  <c r="M56" i="2"/>
  <c r="I56" i="2"/>
  <c r="F56" i="2"/>
  <c r="K57" i="2"/>
  <c r="K59" i="2" s="1"/>
  <c r="L57" i="2"/>
  <c r="E57" i="2"/>
  <c r="F57" i="2" s="1"/>
  <c r="I55" i="2"/>
  <c r="M55" i="2"/>
  <c r="F55" i="2"/>
  <c r="I53" i="2"/>
  <c r="L53" i="2"/>
  <c r="L59" i="2" l="1"/>
  <c r="K60" i="2"/>
  <c r="K81" i="2" s="1"/>
  <c r="I57" i="2"/>
  <c r="M57" i="2"/>
  <c r="M53" i="2"/>
  <c r="E54" i="2"/>
  <c r="E59" i="2" s="1"/>
  <c r="K83" i="2" l="1"/>
  <c r="K204" i="2"/>
  <c r="K206" i="2" s="1"/>
  <c r="F58" i="2"/>
  <c r="I58" i="2"/>
  <c r="I54" i="2"/>
  <c r="M58" i="2"/>
  <c r="M54" i="2"/>
  <c r="F54" i="2"/>
  <c r="M59" i="2" l="1"/>
  <c r="I59" i="2"/>
  <c r="F59" i="2"/>
</calcChain>
</file>

<file path=xl/sharedStrings.xml><?xml version="1.0" encoding="utf-8"?>
<sst xmlns="http://schemas.openxmlformats.org/spreadsheetml/2006/main" count="846" uniqueCount="250">
  <si>
    <t>ОТЧЕТ О ДОСТИЖЕНИИ ЗНАЧЕНИЙ ЦЕЛЕВЫХ ПОКАЗАТЕЛЕЙ ПРОГРАММЫ ЭНЕРГОСБЕРЕЖЕНИЯ  И ПОВЫШЕНИЯ ЭНЕРГЕТИЧЕСКОЙ ЭФФЕКТИВНОСТИ</t>
  </si>
  <si>
    <t>КОДЫ</t>
  </si>
  <si>
    <t>Дата</t>
  </si>
  <si>
    <t>N п/п</t>
  </si>
  <si>
    <t>Наименование показателя программы</t>
  </si>
  <si>
    <t>Единица измерения</t>
  </si>
  <si>
    <t>Значения целевых показателей программы</t>
  </si>
  <si>
    <t>план</t>
  </si>
  <si>
    <t>факт</t>
  </si>
  <si>
    <t>отклонение</t>
  </si>
  <si>
    <t>Наименование мероприятия программы</t>
  </si>
  <si>
    <t>Финансовое обеспечение реализации мероприятий</t>
  </si>
  <si>
    <t>Экономия топливно-энергетических ресурсов</t>
  </si>
  <si>
    <t>источник</t>
  </si>
  <si>
    <t>в натуральном выражении</t>
  </si>
  <si>
    <t>ед. изм.</t>
  </si>
  <si>
    <t>Итого по мероприятиям</t>
  </si>
  <si>
    <t>X</t>
  </si>
  <si>
    <t>Всего по мероприятиям</t>
  </si>
  <si>
    <t>Приложение N 4 (приказ Минэнерго России от 30.06.2014 N 398) к требованиям к форме программы в области энергосбережения и повышения энергетической эффективности организаций с участием государства и муниципального образования и отчетности о ходе ее реализации</t>
  </si>
  <si>
    <t>Приложение N 5 (приказ Минэнерго России от 30.06.2014 N 398) к требованиям к форме программы в области энергосбережения и повышения энергетической эффективности организаций с участием государства и муниципального образования и отчетности о ходе ее реализации</t>
  </si>
  <si>
    <t>объем, тыс. руб.</t>
  </si>
  <si>
    <t>количество</t>
  </si>
  <si>
    <t>кВт/Гкал</t>
  </si>
  <si>
    <t>Потери тепловой энергии</t>
  </si>
  <si>
    <t>Гкал</t>
  </si>
  <si>
    <t>%</t>
  </si>
  <si>
    <t>1.</t>
  </si>
  <si>
    <t>2.</t>
  </si>
  <si>
    <t>СС</t>
  </si>
  <si>
    <t>в стоимостном выражении,                тыс. руб.</t>
  </si>
  <si>
    <t>№пп</t>
  </si>
  <si>
    <t>Используемый коммунальный ресурс</t>
  </si>
  <si>
    <t>Объем полезного отпуска в сеть</t>
  </si>
  <si>
    <t>Население ИЖД</t>
  </si>
  <si>
    <t>Помещений в МКД оснащенных ИПУ (шт.)</t>
  </si>
  <si>
    <t>Тепловая энергия Гкал (отопление)</t>
  </si>
  <si>
    <t xml:space="preserve">Объем потребления ресурса в МКД, начисляемый </t>
  </si>
  <si>
    <t>по нормативу</t>
  </si>
  <si>
    <t>по ОДПУ</t>
  </si>
  <si>
    <t>МКД оснащенных ОДПУ (шт.)</t>
  </si>
  <si>
    <t>по ИПУ</t>
  </si>
  <si>
    <t xml:space="preserve">Объем потребления ресурса в помещениях МКД, начисляемый </t>
  </si>
  <si>
    <t>Приложение N 1 (приказ Минэнерго России от 30.06.2014 N 398) к требованиям к форме программы в области энергосбережения и повышения энергетической эффективности организаций с участием государства и муниципального образования и отчетности о ходе ее реализации</t>
  </si>
  <si>
    <t xml:space="preserve">Потери в сетях </t>
  </si>
  <si>
    <t xml:space="preserve"> </t>
  </si>
  <si>
    <t>Холодное водоснабжение тыс. куб.м</t>
  </si>
  <si>
    <t>Тепловая энергия Гкал (всего с учетом покупной энергии)</t>
  </si>
  <si>
    <t xml:space="preserve">МКД подключенных к сети </t>
  </si>
  <si>
    <t>Помещений в МКД подключенных  сети</t>
  </si>
  <si>
    <t>Холодное водоснабжение тыс.куб.м</t>
  </si>
  <si>
    <t>Прочие потребители</t>
  </si>
  <si>
    <t>№ п/п</t>
  </si>
  <si>
    <t xml:space="preserve">Удельный расход холодной воды в муниципальном секторе </t>
  </si>
  <si>
    <t>куб.м/чел</t>
  </si>
  <si>
    <t xml:space="preserve">Удельный расход холодной воды в жилищном фонде </t>
  </si>
  <si>
    <t xml:space="preserve">Удельный расход горячей воды в муниципальном секторе </t>
  </si>
  <si>
    <t xml:space="preserve">Удельный расход горячей воды в жилищном фонде </t>
  </si>
  <si>
    <t>Удельный расход электрической энергии  в муниципальном секторе</t>
  </si>
  <si>
    <t>кВт.ч/кв.м</t>
  </si>
  <si>
    <t xml:space="preserve">Удельный расход электрической энергии в жилищном фонде  </t>
  </si>
  <si>
    <t xml:space="preserve">Удельный расход тепловой энергии в муниципальном секторе </t>
  </si>
  <si>
    <t>Гкал/кв.м</t>
  </si>
  <si>
    <t xml:space="preserve">Удельный расход тепловой энергии в жилищном фонде </t>
  </si>
  <si>
    <t xml:space="preserve">Удельный расход природного газа в муниципальном секторе </t>
  </si>
  <si>
    <t xml:space="preserve">Удельный расход природного газа в жилищном фонде  </t>
  </si>
  <si>
    <t>Удельный расход электроэнергии, используемой для передачи (транспортировки) воды в системе водоснабжения</t>
  </si>
  <si>
    <t>кВт/куб.м</t>
  </si>
  <si>
    <t>Удельный расход топлива на выработку 1 Гкал</t>
  </si>
  <si>
    <t>т.у.т.*/Гкал</t>
  </si>
  <si>
    <t>Удельный расход электроэнергии на выработку 1 Гкал</t>
  </si>
  <si>
    <t xml:space="preserve">Потери холодной воды при ее передаче </t>
  </si>
  <si>
    <t>тыс.куб.м</t>
  </si>
  <si>
    <r>
      <t xml:space="preserve">Снижение выбраса парниковых газов </t>
    </r>
    <r>
      <rPr>
        <sz val="12"/>
        <color indexed="8"/>
        <rFont val="Times New Roman"/>
        <family val="1"/>
        <charset val="204"/>
      </rPr>
      <t xml:space="preserve"> в атмосферу</t>
    </r>
  </si>
  <si>
    <t>тонна</t>
  </si>
  <si>
    <t>Потребление ресурса на 31.12.2020 г. по группам потребления</t>
  </si>
  <si>
    <t xml:space="preserve">на 31.12.2020 г. </t>
  </si>
  <si>
    <t>План 2021</t>
  </si>
  <si>
    <t>на 31.12.2020 г.</t>
  </si>
  <si>
    <t>кВт*ч</t>
  </si>
  <si>
    <t>-</t>
  </si>
  <si>
    <t xml:space="preserve">Установка частотных преобразователей и насосных агрегатов с нми на ВНС IV подъема в 2018  году </t>
  </si>
  <si>
    <t xml:space="preserve">Установка частотных преобразователей и насосных агрегатов с нми на ВНС IV подъема в 2019 - 2020 году </t>
  </si>
  <si>
    <t xml:space="preserve">3. </t>
  </si>
  <si>
    <t>Замена силовых маслянных трансформаторов на ЦВС</t>
  </si>
  <si>
    <t>Установка контрольных приборов учета воды у крупных абонентов</t>
  </si>
  <si>
    <t>м3</t>
  </si>
  <si>
    <t>4.</t>
  </si>
  <si>
    <t>Установка 5-ти контрольных приборов учёта тепла на ЮВС-2</t>
  </si>
  <si>
    <t xml:space="preserve">5. </t>
  </si>
  <si>
    <t>Выполнение работ по модернизации КНС-9</t>
  </si>
  <si>
    <t>Наладка режимов потребления</t>
  </si>
  <si>
    <t>Проведение энергетического обследования и разрабортка энергетического паспорта</t>
  </si>
  <si>
    <t>Организация постановки бесхозяйных сетей на баланс предприятия</t>
  </si>
  <si>
    <t>Замена трубопроводов на предизолированные</t>
  </si>
  <si>
    <t>тыс.Гкал</t>
  </si>
  <si>
    <t>Замена электросчетчиков</t>
  </si>
  <si>
    <t>Установка (замена)энергосберегающих светильников с использованием светодиодов</t>
  </si>
  <si>
    <t>тыс.кВт.ч</t>
  </si>
  <si>
    <t>Тепловая энергия приборы учета:</t>
  </si>
  <si>
    <t>установка</t>
  </si>
  <si>
    <t>замена</t>
  </si>
  <si>
    <t>поверка</t>
  </si>
  <si>
    <t xml:space="preserve">Мероприятия по приборам учета холодной воды                                  -поверка                                       </t>
  </si>
  <si>
    <t xml:space="preserve"> -замена</t>
  </si>
  <si>
    <t xml:space="preserve">Мероприятия по приборам учета природного газа                                   -поверка                                      </t>
  </si>
  <si>
    <t>Закрытие угольных котельных, техническое перевооружение котельных, поставка и монтаж котлов</t>
  </si>
  <si>
    <t>тыс.м3</t>
  </si>
  <si>
    <t>тыс.кВт</t>
  </si>
  <si>
    <t>Адресная инвестиционная программа</t>
  </si>
  <si>
    <t>т.у.т.</t>
  </si>
  <si>
    <t>Техническое перевооружение котельных</t>
  </si>
  <si>
    <t>Население МКД</t>
  </si>
  <si>
    <t>Модернизация систем освещения</t>
  </si>
  <si>
    <t>кВт.ч</t>
  </si>
  <si>
    <t>Замена 25 люминесцентных светильников общей мощностью 72 Вт на светодиодные светильники мощностью 36 Вт в учреждении</t>
  </si>
  <si>
    <t>Замена однопозиционного сливного устройства в смывном бачке унитаза на двухпозиционное сливное устройство</t>
  </si>
  <si>
    <t>Х</t>
  </si>
  <si>
    <t>Замена ламп на светодиодная LED-T18 в количестве 25 шт.</t>
  </si>
  <si>
    <t>Подготовка к отопительному сезону (промывка системы отопления)</t>
  </si>
  <si>
    <t>Замена ламп накаливания с более высоким потреблением на энергосберегающие                ул. Ольштынская,18-22., ул. Загорская, 1-5.</t>
  </si>
  <si>
    <t>Модернизация систем освещения замена светильников   ул. Загорская1-5,                        ул. Ольштынская, 18-22.</t>
  </si>
  <si>
    <t>ГБ</t>
  </si>
  <si>
    <t>тыс Квт</t>
  </si>
  <si>
    <t xml:space="preserve"> Гкал</t>
  </si>
  <si>
    <t>МАУ ДО ДМШ "Лира"</t>
  </si>
  <si>
    <t xml:space="preserve"> МАОУДО ДЮЦ  "На Комсомольской"</t>
  </si>
  <si>
    <t>МАУ ДК "Машиностроитель"</t>
  </si>
  <si>
    <t>3.</t>
  </si>
  <si>
    <t xml:space="preserve">модернизация систем водоснабжения и водоотведения </t>
  </si>
  <si>
    <t>МАУДО СЮТ</t>
  </si>
  <si>
    <t>Ремонт помещений (Замена входной  двери, и двери запасного выхода)</t>
  </si>
  <si>
    <t>МБУ ДО ДЮСШ № 13 по кикбоксингу и рукопашному бою</t>
  </si>
  <si>
    <t xml:space="preserve">Модернизация систем освещения: </t>
  </si>
  <si>
    <t>50.0</t>
  </si>
  <si>
    <t>Установка нергосберегаю-щих ламп</t>
  </si>
  <si>
    <t>5.0</t>
  </si>
  <si>
    <t>тыс.квт/ч</t>
  </si>
  <si>
    <t>Очистка  и промывка  внутренней  поверхностей нагрева котлов</t>
  </si>
  <si>
    <t>70.0</t>
  </si>
  <si>
    <t>53.875</t>
  </si>
  <si>
    <t>61.3</t>
  </si>
  <si>
    <t>ДМШ имени Д.Д.Шостаковича</t>
  </si>
  <si>
    <t>Муниципальное предприятие "Центральный порк культуры и отдыха</t>
  </si>
  <si>
    <t>замена10 ламп наккаливанияпо 60 Вт на светодиодные лампы 21 Вт</t>
  </si>
  <si>
    <t>Модернизация систем  освещения, в том числе:</t>
  </si>
  <si>
    <t>Модернизация систем внутреннего освещения</t>
  </si>
  <si>
    <t>Модернизация систем уличного освещения</t>
  </si>
  <si>
    <t>Замена 119 люминесцентных светильников мощностью 72 Вт на светодиодные светильники мощностью по 36 Вт в птичнике, обезьяннике, администрации</t>
  </si>
  <si>
    <t>Модернизация систем отопления путем перевода автономных систем с котлами на угле на устройство электрокотла в карликовом бегемотнике мощностью 9 кВт, устройство электрических конвекторов мощностью 3 кВт в здании "Накопитель" со снижением общего объема потребления на объекте (тепловая завеса,  водонагревателя, конвектора)</t>
  </si>
  <si>
    <t>Мероприятия модернизации оборудования ЦТП (Зимний сад) с целью разделения объемов теплоподачи по отдельным объектам и переоборудование тепловой камеры на вводе теплосети под тепловой пункт)</t>
  </si>
  <si>
    <t>Мероприятия по установке частотно-регулируемых приводов электродвигателей (замена оборудования фонтана) с цель капитального ремонта  и уменьшения электропотребления фонтана с 40 до 20 кВт.</t>
  </si>
  <si>
    <t>Мероприятия по установке приборов учета теплоэнергии (в тепловой камере на вводе теплосети в зоопарк в период переоборудования тепловой камеры в тепловой пункт)</t>
  </si>
  <si>
    <t xml:space="preserve">Мероприятия по утеплению ограждающих конструкций зданий                            </t>
  </si>
  <si>
    <t xml:space="preserve">Мероприятия по замене оконных и дверных заполнений                             </t>
  </si>
  <si>
    <t>Строительство новых теплотрасс, ремонт действующих теплосетей</t>
  </si>
  <si>
    <t>Устройство расходомеров (счетчиков канализационных стоков) на выпусках здания обезьянника, слоновника, бегемотника и птичника и административного здания</t>
  </si>
  <si>
    <t>МАУК Калининградский зоопарк"</t>
  </si>
  <si>
    <t>27.00</t>
  </si>
  <si>
    <t>0</t>
  </si>
  <si>
    <t>3.5</t>
  </si>
  <si>
    <t>27.0</t>
  </si>
  <si>
    <t>Природный газ тыс. м3</t>
  </si>
  <si>
    <t>Бюджетные / муниципальные учреждения</t>
  </si>
  <si>
    <t>Электроэнергия тыс. кВт.ч</t>
  </si>
  <si>
    <t>Оперативное устранение аварийных ситуаций электро, тепловодоснабжения учреждения</t>
  </si>
  <si>
    <t>Произведено техническое обслуживание , регулировка,балансировка систем отопления объектов учреждения.</t>
  </si>
  <si>
    <t>Гкал.</t>
  </si>
  <si>
    <t>Произведена гидропневматическая промывка и опрессовка внутренних систем теплопотребления административных зданий.</t>
  </si>
  <si>
    <t>Произведены гидравлические испытания ИТП.</t>
  </si>
  <si>
    <t>5.</t>
  </si>
  <si>
    <t>Своевременное проведение поверки приборов учета коммунальных ресурсов.</t>
  </si>
  <si>
    <t>0.1</t>
  </si>
  <si>
    <t>6.</t>
  </si>
  <si>
    <t xml:space="preserve">Производиться поэтапная замена систем освещения  на  светодиодные светильники </t>
  </si>
  <si>
    <t>МКП "КалининградГорТранс"</t>
  </si>
  <si>
    <t>Выравнивание нагрузок по фазам в распределительных сетях 0,4 кВ тр-ных подстанций</t>
  </si>
  <si>
    <t>т. кВт</t>
  </si>
  <si>
    <t>Выявление фактов незаконных подключений</t>
  </si>
  <si>
    <t>Замена ламп накаливания с более высоким потреблением на энергосберегающие</t>
  </si>
  <si>
    <t>Монтаж водосберегающих насадок на водозапорную арматуру</t>
  </si>
  <si>
    <t>т.м3</t>
  </si>
  <si>
    <t xml:space="preserve">Замена окон, утепление фасада конечной станции "Басейная", пр-кт Мира, 146б, литера А </t>
  </si>
  <si>
    <t>Всего 1185699,1</t>
  </si>
  <si>
    <t>ГВС                                313574</t>
  </si>
  <si>
    <t>Отопление 872125,1</t>
  </si>
  <si>
    <t xml:space="preserve">Горячее водоснабжение тыс. куб.м    </t>
  </si>
  <si>
    <t>Всего с учетом ХВС на ГВС 27494,192</t>
  </si>
  <si>
    <t>МАУ ДО "ДШИ"</t>
  </si>
  <si>
    <t>МАУК КТК "Дом искуств"</t>
  </si>
  <si>
    <t>Ремонт системы отопления, промывка, гидровлические испытания</t>
  </si>
  <si>
    <t>МАУ "Молодежный центр"</t>
  </si>
  <si>
    <t>МБУ СШОР 10 по волейболу</t>
  </si>
  <si>
    <t>Муниципальное образование городской округ "Город Калининград"</t>
  </si>
  <si>
    <t>х</t>
  </si>
  <si>
    <t>Насиление 486300 чел</t>
  </si>
  <si>
    <t>полощадь помещений 812271,9 м.2</t>
  </si>
  <si>
    <t>чел.</t>
  </si>
  <si>
    <t>пл. бу</t>
  </si>
  <si>
    <t>пл. МКД</t>
  </si>
  <si>
    <t>прож</t>
  </si>
  <si>
    <t>МКД</t>
  </si>
  <si>
    <t>ЦГВС</t>
  </si>
  <si>
    <t>ХВС</t>
  </si>
  <si>
    <t>газ</t>
  </si>
  <si>
    <t>Начальник управления ЖиКХ</t>
  </si>
  <si>
    <t>Т.Н. Урядникова</t>
  </si>
  <si>
    <t>Начальник отдела ООКР</t>
  </si>
  <si>
    <t>С.Л. Лизунов</t>
  </si>
  <si>
    <t>Подготовил</t>
  </si>
  <si>
    <t>С.И Рачковский</t>
  </si>
  <si>
    <t>т. 923484</t>
  </si>
  <si>
    <t>МАДОУ ЦРР д/с №2</t>
  </si>
  <si>
    <t>Монтаж 16 теплоотражающих экранов за радиаторами отопления на внутреннюю поверхность наружной стены в помещениях здания на ул.Менделеева, 18</t>
  </si>
  <si>
    <t>Монтаж 16 теплоотражающих экранов за радиаторами отопления на внутреннюю поверхность наружной стены в помещениях здания на ул.Красносельская, 24</t>
  </si>
  <si>
    <t>Замена 7 люминесцентных светильников 2х36 на светодиодные светильники 31 Вт в здании на ул.Менделеева, 18</t>
  </si>
  <si>
    <t>Замена 12 люминесцентных светильников 2х36 на светодиодные светильники 31 Вт в здании на ул.Красносельская, 24</t>
  </si>
  <si>
    <t>т.кВт</t>
  </si>
  <si>
    <t>ГП КО "Водоканал"</t>
  </si>
  <si>
    <t xml:space="preserve">МП "Калининградтеплосеть" </t>
  </si>
  <si>
    <t>0,577</t>
  </si>
  <si>
    <t>МКУ "ЦОДИПП"</t>
  </si>
  <si>
    <t xml:space="preserve">По организациям коммунальной сфера </t>
  </si>
  <si>
    <t>27,0</t>
  </si>
  <si>
    <t>3,5</t>
  </si>
  <si>
    <t>ИТОГО:</t>
  </si>
  <si>
    <t>МАУ ДО "Детская художественная школа"</t>
  </si>
  <si>
    <t>МБУ "Служба административно-технического обеспечения"</t>
  </si>
  <si>
    <t>МБУ "Гидротехник"</t>
  </si>
  <si>
    <t>Замена ламп на светодиодная LED-T18</t>
  </si>
  <si>
    <t>МАУ СШОР № 1 по спортивной гимнастике</t>
  </si>
  <si>
    <t>МАУ "Комплексный  центр социального обслуживания населения в городе Калининграде"</t>
  </si>
  <si>
    <t>МАДОУ д/с № 100</t>
  </si>
  <si>
    <t xml:space="preserve">Замена светильников </t>
  </si>
  <si>
    <t>Работы по замене покрытия пола (спортивный зал, кабинет) июль-сентябрь 2020 г</t>
  </si>
  <si>
    <t>Ремонт системы отопления</t>
  </si>
  <si>
    <t>Горячее водоснабжение Гкал, с ИТП.</t>
  </si>
  <si>
    <t>Горячее водоснабжение тыс.куб.м, от ЦТП.</t>
  </si>
  <si>
    <t>____________ март 2021 г.</t>
  </si>
  <si>
    <t>Итого</t>
  </si>
  <si>
    <t>тыс. кВт.ч</t>
  </si>
  <si>
    <t>Модернизация систем отопления</t>
  </si>
  <si>
    <t>Модернизация систем водоснабжения</t>
  </si>
  <si>
    <t>МАДОУ д/с № 51</t>
  </si>
  <si>
    <t xml:space="preserve">По организациям социальной сферы </t>
  </si>
  <si>
    <t>Всего по Программе</t>
  </si>
  <si>
    <t>Замена люминесцентных светильников на светодиодные светильники 31 Вт и  замена ламп наккаливания на светодиодные лампы 21 Вт</t>
  </si>
  <si>
    <t>Утепление ограждающих конструкций</t>
  </si>
  <si>
    <t>Прочие</t>
  </si>
  <si>
    <t>____________март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</si>
</sst>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  <numFmt numFmtId="167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166" fontId="1" fillId="2" borderId="3" xfId="0" applyNumberFormat="1" applyFont="1" applyFill="1" applyBorder="1" applyAlignment="1">
      <alignment wrapText="1"/>
    </xf>
    <xf numFmtId="166" fontId="1" fillId="2" borderId="3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1" fontId="1" fillId="0" borderId="3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vertical="top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6" fontId="3" fillId="0" borderId="1" xfId="0" applyNumberFormat="1" applyFont="1" applyBorder="1" applyAlignment="1">
      <alignment horizontal="justify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3" xfId="0" applyNumberFormat="1" applyFont="1" applyBorder="1"/>
    <xf numFmtId="2" fontId="1" fillId="0" borderId="1" xfId="0" applyNumberFormat="1" applyFont="1" applyBorder="1"/>
    <xf numFmtId="0" fontId="1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1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/>
    <xf numFmtId="0" fontId="1" fillId="2" borderId="0" xfId="0" applyFont="1" applyFill="1"/>
    <xf numFmtId="0" fontId="0" fillId="2" borderId="0" xfId="0" applyFill="1"/>
    <xf numFmtId="0" fontId="1" fillId="0" borderId="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12" fillId="2" borderId="4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49" fontId="1" fillId="0" borderId="17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8" fillId="0" borderId="21" xfId="0" applyNumberFormat="1" applyFont="1" applyBorder="1" applyAlignment="1">
      <alignment horizontal="center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6" fontId="8" fillId="2" borderId="4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wrapText="1"/>
    </xf>
    <xf numFmtId="2" fontId="8" fillId="2" borderId="6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167" fontId="1" fillId="0" borderId="0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0" fillId="0" borderId="0" xfId="0" applyNumberFormat="1"/>
    <xf numFmtId="167" fontId="0" fillId="0" borderId="0" xfId="0" applyNumberFormat="1"/>
    <xf numFmtId="166" fontId="8" fillId="2" borderId="3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1"/>
  <sheetViews>
    <sheetView zoomScale="90" zoomScaleNormal="90" workbookViewId="0">
      <selection activeCell="G23" sqref="G23"/>
    </sheetView>
  </sheetViews>
  <sheetFormatPr defaultRowHeight="15" x14ac:dyDescent="0.25"/>
  <cols>
    <col min="1" max="1" width="6.140625" customWidth="1"/>
    <col min="2" max="2" width="25.5703125" customWidth="1"/>
    <col min="3" max="3" width="10.140625" customWidth="1"/>
    <col min="4" max="4" width="11.140625" customWidth="1"/>
    <col min="6" max="6" width="11.42578125" customWidth="1"/>
    <col min="7" max="7" width="17.140625" customWidth="1"/>
    <col min="8" max="8" width="12.7109375" customWidth="1"/>
    <col min="9" max="9" width="11.42578125" customWidth="1"/>
    <col min="10" max="11" width="11" customWidth="1"/>
    <col min="12" max="12" width="14.7109375" customWidth="1"/>
    <col min="13" max="13" width="17.28515625" customWidth="1"/>
    <col min="14" max="14" width="17.140625" customWidth="1"/>
  </cols>
  <sheetData>
    <row r="1" spans="1:14" ht="15.75" x14ac:dyDescent="0.25">
      <c r="A1" s="60"/>
      <c r="B1" s="60"/>
      <c r="C1" s="60"/>
      <c r="D1" s="60"/>
      <c r="E1" s="60"/>
      <c r="F1" s="60"/>
      <c r="G1" s="60"/>
      <c r="H1" s="60"/>
      <c r="I1" s="60"/>
      <c r="J1" s="176" t="s">
        <v>43</v>
      </c>
      <c r="K1" s="176"/>
      <c r="L1" s="176"/>
      <c r="M1" s="176"/>
      <c r="N1" s="176"/>
    </row>
    <row r="2" spans="1:14" ht="15.75" x14ac:dyDescent="0.25">
      <c r="A2" s="60"/>
      <c r="B2" s="60"/>
      <c r="C2" s="60"/>
      <c r="D2" s="60"/>
      <c r="E2" s="60"/>
      <c r="F2" s="60"/>
      <c r="G2" s="60"/>
      <c r="H2" s="60"/>
      <c r="I2" s="60"/>
      <c r="J2" s="176"/>
      <c r="K2" s="176"/>
      <c r="L2" s="176"/>
      <c r="M2" s="176"/>
      <c r="N2" s="176"/>
    </row>
    <row r="3" spans="1:14" ht="15.75" x14ac:dyDescent="0.25">
      <c r="A3" s="60"/>
      <c r="B3" s="60"/>
      <c r="C3" s="60"/>
      <c r="D3" s="60"/>
      <c r="E3" s="60"/>
      <c r="F3" s="60"/>
      <c r="G3" s="60"/>
      <c r="H3" s="60"/>
      <c r="I3" s="60"/>
      <c r="J3" s="176"/>
      <c r="K3" s="176"/>
      <c r="L3" s="176"/>
      <c r="M3" s="176"/>
      <c r="N3" s="176"/>
    </row>
    <row r="4" spans="1:14" ht="36.75" customHeight="1" x14ac:dyDescent="0.25">
      <c r="A4" s="60"/>
      <c r="B4" s="183" t="s">
        <v>193</v>
      </c>
      <c r="C4" s="183"/>
      <c r="D4" s="183"/>
      <c r="E4" s="183"/>
      <c r="F4" s="183"/>
      <c r="G4" s="183"/>
      <c r="H4" s="60"/>
      <c r="I4" s="60"/>
      <c r="J4" s="177"/>
      <c r="K4" s="177"/>
      <c r="L4" s="177"/>
      <c r="M4" s="177"/>
      <c r="N4" s="177"/>
    </row>
    <row r="5" spans="1:14" ht="15.75" x14ac:dyDescent="0.25">
      <c r="A5" s="178" t="s">
        <v>31</v>
      </c>
      <c r="B5" s="178" t="s">
        <v>32</v>
      </c>
      <c r="C5" s="180" t="s">
        <v>75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2"/>
    </row>
    <row r="6" spans="1:14" ht="30" customHeight="1" x14ac:dyDescent="0.25">
      <c r="A6" s="179"/>
      <c r="B6" s="179"/>
      <c r="C6" s="169" t="s">
        <v>33</v>
      </c>
      <c r="D6" s="169"/>
      <c r="E6" s="169" t="s">
        <v>44</v>
      </c>
      <c r="F6" s="169"/>
      <c r="G6" s="169" t="s">
        <v>163</v>
      </c>
      <c r="H6" s="169"/>
      <c r="I6" s="169" t="s">
        <v>51</v>
      </c>
      <c r="J6" s="169"/>
      <c r="K6" s="180" t="s">
        <v>112</v>
      </c>
      <c r="L6" s="181"/>
      <c r="M6" s="182"/>
      <c r="N6" s="61" t="s">
        <v>34</v>
      </c>
    </row>
    <row r="7" spans="1:14" ht="49.5" customHeight="1" x14ac:dyDescent="0.25">
      <c r="A7" s="62">
        <v>1</v>
      </c>
      <c r="B7" s="63" t="s">
        <v>47</v>
      </c>
      <c r="C7" s="175">
        <v>1896185.6</v>
      </c>
      <c r="D7" s="175"/>
      <c r="E7" s="172">
        <v>314072.40999999997</v>
      </c>
      <c r="F7" s="173"/>
      <c r="G7" s="64">
        <v>97353.22</v>
      </c>
      <c r="H7" s="65">
        <v>123449.08</v>
      </c>
      <c r="I7" s="171">
        <v>175373.59</v>
      </c>
      <c r="J7" s="173"/>
      <c r="K7" s="64" t="s">
        <v>183</v>
      </c>
      <c r="L7" s="64" t="s">
        <v>185</v>
      </c>
      <c r="M7" s="64" t="s">
        <v>184</v>
      </c>
      <c r="N7" s="66">
        <v>238.2</v>
      </c>
    </row>
    <row r="8" spans="1:14" ht="33" customHeight="1" x14ac:dyDescent="0.25">
      <c r="A8" s="62">
        <v>2</v>
      </c>
      <c r="B8" s="67" t="s">
        <v>186</v>
      </c>
      <c r="C8" s="68"/>
      <c r="D8" s="65"/>
      <c r="E8" s="69"/>
      <c r="F8" s="65"/>
      <c r="G8" s="64"/>
      <c r="H8" s="65"/>
      <c r="I8" s="68"/>
      <c r="J8" s="65"/>
      <c r="K8" s="171">
        <v>1862.386</v>
      </c>
      <c r="L8" s="172"/>
      <c r="M8" s="173"/>
      <c r="N8" s="66"/>
    </row>
    <row r="9" spans="1:14" ht="32.25" customHeight="1" x14ac:dyDescent="0.25">
      <c r="A9" s="62">
        <v>3</v>
      </c>
      <c r="B9" s="63" t="s">
        <v>46</v>
      </c>
      <c r="C9" s="166">
        <v>36135.110999999997</v>
      </c>
      <c r="D9" s="168"/>
      <c r="E9" s="166">
        <v>11376.477999999999</v>
      </c>
      <c r="F9" s="168"/>
      <c r="G9" s="66">
        <v>465.61599999999999</v>
      </c>
      <c r="H9" s="66">
        <v>3803.3</v>
      </c>
      <c r="I9" s="174">
        <v>4760.88</v>
      </c>
      <c r="J9" s="174"/>
      <c r="K9" s="166" t="s">
        <v>187</v>
      </c>
      <c r="L9" s="168"/>
      <c r="M9" s="66">
        <v>25631.806</v>
      </c>
      <c r="N9" s="66" t="s">
        <v>80</v>
      </c>
    </row>
    <row r="10" spans="1:14" ht="14.25" customHeight="1" x14ac:dyDescent="0.25">
      <c r="A10" s="62">
        <v>4</v>
      </c>
      <c r="B10" s="70" t="s">
        <v>162</v>
      </c>
      <c r="C10" s="166">
        <v>1238132.83</v>
      </c>
      <c r="D10" s="168"/>
      <c r="E10" s="166"/>
      <c r="F10" s="168"/>
      <c r="G10" s="66">
        <v>469.12299999999999</v>
      </c>
      <c r="H10" s="66">
        <v>156938.03700000001</v>
      </c>
      <c r="I10" s="166">
        <v>906356.91399999999</v>
      </c>
      <c r="J10" s="168"/>
      <c r="K10" s="166">
        <v>147782.32</v>
      </c>
      <c r="L10" s="167"/>
      <c r="M10" s="168"/>
      <c r="N10" s="66">
        <v>26586.355</v>
      </c>
    </row>
    <row r="11" spans="1:14" ht="14.25" customHeight="1" x14ac:dyDescent="0.25">
      <c r="A11" s="62">
        <v>5</v>
      </c>
      <c r="B11" s="70" t="s">
        <v>164</v>
      </c>
      <c r="C11" s="166">
        <v>1685552.9839999999</v>
      </c>
      <c r="D11" s="168"/>
      <c r="E11" s="166"/>
      <c r="F11" s="168"/>
      <c r="G11" s="66">
        <v>8046.4650000000001</v>
      </c>
      <c r="H11" s="66">
        <v>186446.60200000001</v>
      </c>
      <c r="I11" s="166">
        <v>1143519.9920000001</v>
      </c>
      <c r="J11" s="168"/>
      <c r="K11" s="166">
        <v>304149.45500000002</v>
      </c>
      <c r="L11" s="167"/>
      <c r="M11" s="168"/>
      <c r="N11" s="66">
        <v>43390.47</v>
      </c>
    </row>
    <row r="12" spans="1:14" ht="35.25" customHeight="1" x14ac:dyDescent="0.25">
      <c r="A12" s="184" t="s">
        <v>31</v>
      </c>
      <c r="B12" s="184" t="s">
        <v>32</v>
      </c>
      <c r="C12" s="179" t="s">
        <v>37</v>
      </c>
      <c r="D12" s="179"/>
      <c r="E12" s="179"/>
      <c r="F12" s="179"/>
      <c r="G12" s="169" t="s">
        <v>48</v>
      </c>
      <c r="H12" s="169" t="s">
        <v>40</v>
      </c>
      <c r="I12" s="169" t="s">
        <v>42</v>
      </c>
      <c r="J12" s="169"/>
      <c r="K12" s="169"/>
      <c r="L12" s="169"/>
      <c r="M12" s="169" t="s">
        <v>49</v>
      </c>
      <c r="N12" s="169" t="s">
        <v>35</v>
      </c>
    </row>
    <row r="13" spans="1:14" ht="24.75" customHeight="1" x14ac:dyDescent="0.25">
      <c r="A13" s="184"/>
      <c r="B13" s="184"/>
      <c r="C13" s="169" t="s">
        <v>76</v>
      </c>
      <c r="D13" s="169"/>
      <c r="E13" s="169" t="s">
        <v>77</v>
      </c>
      <c r="F13" s="169"/>
      <c r="G13" s="169"/>
      <c r="H13" s="169"/>
      <c r="I13" s="169" t="s">
        <v>76</v>
      </c>
      <c r="J13" s="169"/>
      <c r="K13" s="169" t="s">
        <v>77</v>
      </c>
      <c r="L13" s="169"/>
      <c r="M13" s="169"/>
      <c r="N13" s="169"/>
    </row>
    <row r="14" spans="1:14" ht="39.75" customHeight="1" x14ac:dyDescent="0.25">
      <c r="A14" s="179"/>
      <c r="B14" s="179"/>
      <c r="C14" s="61" t="s">
        <v>39</v>
      </c>
      <c r="D14" s="61" t="s">
        <v>38</v>
      </c>
      <c r="E14" s="61" t="s">
        <v>39</v>
      </c>
      <c r="F14" s="61" t="s">
        <v>38</v>
      </c>
      <c r="G14" s="169"/>
      <c r="H14" s="169"/>
      <c r="I14" s="61" t="s">
        <v>41</v>
      </c>
      <c r="J14" s="61" t="s">
        <v>38</v>
      </c>
      <c r="K14" s="61" t="s">
        <v>41</v>
      </c>
      <c r="L14" s="61" t="s">
        <v>38</v>
      </c>
      <c r="M14" s="169"/>
      <c r="N14" s="169"/>
    </row>
    <row r="15" spans="1:14" ht="31.5" x14ac:dyDescent="0.25">
      <c r="A15" s="71">
        <v>1</v>
      </c>
      <c r="B15" s="63" t="s">
        <v>36</v>
      </c>
      <c r="C15" s="61">
        <v>520000.1</v>
      </c>
      <c r="D15" s="61">
        <v>352125</v>
      </c>
      <c r="E15" s="61"/>
      <c r="F15" s="61"/>
      <c r="G15" s="61">
        <v>2245</v>
      </c>
      <c r="H15" s="61">
        <v>1371</v>
      </c>
      <c r="I15" s="61"/>
      <c r="J15" s="61"/>
      <c r="K15" s="61"/>
      <c r="L15" s="61"/>
      <c r="M15" s="61"/>
      <c r="N15" s="61"/>
    </row>
    <row r="16" spans="1:14" ht="39" customHeight="1" x14ac:dyDescent="0.25">
      <c r="A16" s="71">
        <v>2</v>
      </c>
      <c r="B16" s="63" t="s">
        <v>236</v>
      </c>
      <c r="C16" s="61">
        <v>200283.5</v>
      </c>
      <c r="D16" s="61">
        <v>113290.5</v>
      </c>
      <c r="E16" s="61"/>
      <c r="F16" s="61"/>
      <c r="G16" s="61">
        <v>1512</v>
      </c>
      <c r="H16" s="61">
        <v>2</v>
      </c>
      <c r="I16" s="61"/>
      <c r="J16" s="61"/>
      <c r="K16" s="61"/>
      <c r="L16" s="61"/>
      <c r="M16" s="61"/>
      <c r="N16" s="61"/>
    </row>
    <row r="17" spans="1:14" ht="31.5" customHeight="1" x14ac:dyDescent="0.25">
      <c r="A17" s="71">
        <v>3</v>
      </c>
      <c r="B17" s="63" t="s">
        <v>237</v>
      </c>
      <c r="C17" s="60">
        <v>1040.2739999999999</v>
      </c>
      <c r="D17" s="71">
        <v>822.11199999999997</v>
      </c>
      <c r="E17" s="61"/>
      <c r="F17" s="61"/>
      <c r="G17" s="61">
        <v>733</v>
      </c>
      <c r="H17" s="61">
        <v>396</v>
      </c>
      <c r="I17" s="61"/>
      <c r="J17" s="61"/>
      <c r="K17" s="61"/>
      <c r="L17" s="61"/>
      <c r="M17" s="61"/>
      <c r="N17" s="61"/>
    </row>
    <row r="18" spans="1:14" ht="37.5" customHeight="1" x14ac:dyDescent="0.25">
      <c r="A18" s="71">
        <v>4</v>
      </c>
      <c r="B18" s="63" t="s">
        <v>50</v>
      </c>
      <c r="C18" s="61">
        <v>12504.179</v>
      </c>
      <c r="D18" s="61">
        <v>14990.013000000001</v>
      </c>
      <c r="E18" s="61">
        <v>21916.7</v>
      </c>
      <c r="F18" s="61">
        <v>4810.8999999999996</v>
      </c>
      <c r="G18" s="61">
        <v>8030</v>
      </c>
      <c r="H18" s="61">
        <v>5756</v>
      </c>
      <c r="I18" s="61">
        <v>14807.942999999999</v>
      </c>
      <c r="J18" s="61">
        <v>12686.249</v>
      </c>
      <c r="K18" s="61">
        <v>16036.8</v>
      </c>
      <c r="L18" s="61">
        <v>10690.848</v>
      </c>
      <c r="M18" s="61">
        <v>290253</v>
      </c>
      <c r="N18" s="61">
        <v>213144</v>
      </c>
    </row>
    <row r="19" spans="1:14" ht="15.75" x14ac:dyDescent="0.25">
      <c r="A19" s="71">
        <v>5</v>
      </c>
      <c r="B19" s="63" t="s">
        <v>162</v>
      </c>
      <c r="C19" s="61">
        <v>22612.812999999998</v>
      </c>
      <c r="D19" s="61"/>
      <c r="E19" s="61"/>
      <c r="F19" s="61"/>
      <c r="G19" s="61">
        <v>5300</v>
      </c>
      <c r="H19" s="61">
        <v>877</v>
      </c>
      <c r="I19" s="61">
        <v>93877.130999999994</v>
      </c>
      <c r="J19" s="61">
        <v>31292.377</v>
      </c>
      <c r="K19" s="61"/>
      <c r="L19" s="61"/>
      <c r="M19" s="61"/>
      <c r="N19" s="61">
        <v>154488</v>
      </c>
    </row>
    <row r="20" spans="1:14" ht="31.5" x14ac:dyDescent="0.25">
      <c r="A20" s="71">
        <v>6</v>
      </c>
      <c r="B20" s="63" t="s">
        <v>164</v>
      </c>
      <c r="C20" s="61">
        <v>774.37400000000002</v>
      </c>
      <c r="D20" s="61">
        <v>1070.451</v>
      </c>
      <c r="E20" s="61"/>
      <c r="F20" s="61"/>
      <c r="G20" s="61">
        <v>6922</v>
      </c>
      <c r="H20" s="61">
        <v>5355</v>
      </c>
      <c r="I20" s="61">
        <v>288049.45600000001</v>
      </c>
      <c r="J20" s="61">
        <v>14360.157999999999</v>
      </c>
      <c r="K20" s="61"/>
      <c r="L20" s="61"/>
      <c r="M20" s="61">
        <v>209888</v>
      </c>
      <c r="N20" s="61">
        <v>202138</v>
      </c>
    </row>
    <row r="24" spans="1:14" x14ac:dyDescent="0.25">
      <c r="B24" s="170" t="s">
        <v>238</v>
      </c>
      <c r="C24" s="170"/>
    </row>
    <row r="25" spans="1:14" x14ac:dyDescent="0.25">
      <c r="B25" s="59"/>
      <c r="C25" s="59"/>
    </row>
    <row r="26" spans="1:14" x14ac:dyDescent="0.25">
      <c r="B26" t="s">
        <v>205</v>
      </c>
      <c r="E26" s="165" t="s">
        <v>206</v>
      </c>
      <c r="F26" s="165"/>
      <c r="G26" s="165"/>
    </row>
    <row r="27" spans="1:14" x14ac:dyDescent="0.25">
      <c r="E27" s="165"/>
      <c r="F27" s="165"/>
      <c r="G27" s="165"/>
    </row>
    <row r="28" spans="1:14" x14ac:dyDescent="0.25">
      <c r="B28" t="s">
        <v>207</v>
      </c>
      <c r="E28" s="165" t="s">
        <v>208</v>
      </c>
      <c r="F28" s="165"/>
      <c r="G28" s="165"/>
    </row>
    <row r="29" spans="1:14" x14ac:dyDescent="0.25">
      <c r="E29" s="165"/>
      <c r="F29" s="165"/>
      <c r="G29" s="165"/>
    </row>
    <row r="30" spans="1:14" x14ac:dyDescent="0.25">
      <c r="B30" t="s">
        <v>209</v>
      </c>
      <c r="E30" s="165" t="s">
        <v>210</v>
      </c>
      <c r="F30" s="165"/>
      <c r="G30" s="165"/>
    </row>
    <row r="31" spans="1:14" x14ac:dyDescent="0.25">
      <c r="B31" t="s">
        <v>211</v>
      </c>
      <c r="E31" s="165"/>
      <c r="F31" s="165"/>
      <c r="G31" s="165"/>
    </row>
  </sheetData>
  <mergeCells count="45">
    <mergeCell ref="N12:N14"/>
    <mergeCell ref="E13:F13"/>
    <mergeCell ref="I13:J13"/>
    <mergeCell ref="K13:L13"/>
    <mergeCell ref="I12:L12"/>
    <mergeCell ref="M12:M14"/>
    <mergeCell ref="E29:G29"/>
    <mergeCell ref="E30:G30"/>
    <mergeCell ref="J1:N4"/>
    <mergeCell ref="A5:A6"/>
    <mergeCell ref="B5:B6"/>
    <mergeCell ref="C5:N5"/>
    <mergeCell ref="C6:D6"/>
    <mergeCell ref="E6:F6"/>
    <mergeCell ref="K6:M6"/>
    <mergeCell ref="G6:H6"/>
    <mergeCell ref="I6:J6"/>
    <mergeCell ref="B4:G4"/>
    <mergeCell ref="A12:A14"/>
    <mergeCell ref="B12:B14"/>
    <mergeCell ref="C12:F12"/>
    <mergeCell ref="C13:D13"/>
    <mergeCell ref="K8:M8"/>
    <mergeCell ref="K9:L9"/>
    <mergeCell ref="C9:D9"/>
    <mergeCell ref="I9:J9"/>
    <mergeCell ref="C7:D7"/>
    <mergeCell ref="E7:F7"/>
    <mergeCell ref="I7:J7"/>
    <mergeCell ref="E31:G31"/>
    <mergeCell ref="K10:M10"/>
    <mergeCell ref="C11:D11"/>
    <mergeCell ref="E11:F11"/>
    <mergeCell ref="E9:F9"/>
    <mergeCell ref="I11:J11"/>
    <mergeCell ref="K11:M11"/>
    <mergeCell ref="C10:D10"/>
    <mergeCell ref="E10:F10"/>
    <mergeCell ref="I10:J10"/>
    <mergeCell ref="G12:G14"/>
    <mergeCell ref="H12:H14"/>
    <mergeCell ref="B24:C24"/>
    <mergeCell ref="E26:G26"/>
    <mergeCell ref="E27:G27"/>
    <mergeCell ref="E28:G28"/>
  </mergeCells>
  <pageMargins left="0.70866141732283472" right="0.70866141732283472" top="0.35433070866141736" bottom="0.35433070866141736" header="0.31496062992125984" footer="0.19685039370078741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36"/>
  <sheetViews>
    <sheetView workbookViewId="0">
      <selection activeCell="G31" sqref="G31"/>
    </sheetView>
  </sheetViews>
  <sheetFormatPr defaultRowHeight="15" x14ac:dyDescent="0.25"/>
  <cols>
    <col min="1" max="1" width="6.5703125" customWidth="1"/>
    <col min="2" max="2" width="55.140625" customWidth="1"/>
    <col min="3" max="3" width="14.85546875" customWidth="1"/>
    <col min="4" max="6" width="13.140625" customWidth="1"/>
    <col min="8" max="8" width="13.42578125" customWidth="1"/>
  </cols>
  <sheetData>
    <row r="2" spans="1:10" ht="67.5" customHeight="1" x14ac:dyDescent="0.25">
      <c r="A2" s="2"/>
      <c r="B2" s="2"/>
      <c r="D2" s="197" t="s">
        <v>19</v>
      </c>
      <c r="E2" s="197"/>
      <c r="F2" s="197"/>
    </row>
    <row r="3" spans="1:10" ht="24.75" customHeight="1" x14ac:dyDescent="0.25">
      <c r="A3" s="198" t="s">
        <v>0</v>
      </c>
      <c r="B3" s="198"/>
      <c r="C3" s="198"/>
      <c r="D3" s="198"/>
      <c r="E3" s="198"/>
      <c r="F3" s="198"/>
    </row>
    <row r="4" spans="1:10" x14ac:dyDescent="0.25">
      <c r="A4" s="2"/>
      <c r="B4" s="2"/>
      <c r="C4" s="2"/>
      <c r="F4" s="3" t="s">
        <v>1</v>
      </c>
    </row>
    <row r="5" spans="1:10" x14ac:dyDescent="0.25">
      <c r="A5" s="191" t="s">
        <v>78</v>
      </c>
      <c r="B5" s="191"/>
      <c r="E5" s="2" t="s">
        <v>2</v>
      </c>
      <c r="F5" s="4"/>
    </row>
    <row r="6" spans="1:10" ht="15.75" x14ac:dyDescent="0.25">
      <c r="A6" s="192" t="s">
        <v>193</v>
      </c>
      <c r="B6" s="192"/>
      <c r="C6" s="192"/>
      <c r="D6" s="76"/>
      <c r="E6" s="76"/>
      <c r="F6" s="12"/>
    </row>
    <row r="7" spans="1:10" ht="15.75" x14ac:dyDescent="0.25">
      <c r="A7" s="72"/>
      <c r="B7" s="72"/>
      <c r="C7" s="72"/>
      <c r="D7" s="76"/>
      <c r="E7" s="76"/>
      <c r="F7" s="73"/>
    </row>
    <row r="8" spans="1:10" ht="35.25" customHeight="1" x14ac:dyDescent="0.25">
      <c r="A8" s="196" t="s">
        <v>52</v>
      </c>
      <c r="B8" s="189" t="s">
        <v>4</v>
      </c>
      <c r="C8" s="196" t="s">
        <v>5</v>
      </c>
      <c r="D8" s="193" t="s">
        <v>6</v>
      </c>
      <c r="E8" s="194"/>
      <c r="F8" s="195"/>
    </row>
    <row r="9" spans="1:10" ht="45" customHeight="1" x14ac:dyDescent="0.25">
      <c r="A9" s="196"/>
      <c r="B9" s="190"/>
      <c r="C9" s="196"/>
      <c r="D9" s="11" t="s">
        <v>7</v>
      </c>
      <c r="E9" s="14" t="s">
        <v>8</v>
      </c>
      <c r="F9" s="14" t="s">
        <v>9</v>
      </c>
    </row>
    <row r="10" spans="1:10" ht="31.5" x14ac:dyDescent="0.25">
      <c r="A10" s="189">
        <v>1</v>
      </c>
      <c r="B10" s="13" t="s">
        <v>53</v>
      </c>
      <c r="C10" s="11" t="s">
        <v>54</v>
      </c>
      <c r="D10" s="74">
        <v>0.95</v>
      </c>
      <c r="E10" s="75">
        <v>0.95</v>
      </c>
      <c r="F10" s="75">
        <f>E10-D10</f>
        <v>0</v>
      </c>
      <c r="H10">
        <v>465616</v>
      </c>
      <c r="J10" t="s">
        <v>195</v>
      </c>
    </row>
    <row r="11" spans="1:10" ht="15" customHeight="1" x14ac:dyDescent="0.25">
      <c r="A11" s="190"/>
      <c r="B11" s="13" t="s">
        <v>55</v>
      </c>
      <c r="C11" s="11" t="s">
        <v>54</v>
      </c>
      <c r="D11" s="74">
        <v>53</v>
      </c>
      <c r="E11" s="74">
        <v>52.7</v>
      </c>
      <c r="F11" s="75">
        <f>E11-D11</f>
        <v>-0.29999999999999716</v>
      </c>
      <c r="H11">
        <v>25631806</v>
      </c>
    </row>
    <row r="12" spans="1:10" ht="15" customHeight="1" x14ac:dyDescent="0.25">
      <c r="A12" s="189">
        <v>2</v>
      </c>
      <c r="B12" s="13" t="s">
        <v>56</v>
      </c>
      <c r="C12" s="11" t="s">
        <v>54</v>
      </c>
      <c r="D12" s="74" t="s">
        <v>194</v>
      </c>
      <c r="E12" s="74" t="s">
        <v>194</v>
      </c>
      <c r="F12" s="14"/>
    </row>
    <row r="13" spans="1:10" ht="32.25" customHeight="1" x14ac:dyDescent="0.25">
      <c r="A13" s="190"/>
      <c r="B13" s="13" t="s">
        <v>57</v>
      </c>
      <c r="C13" s="11" t="s">
        <v>54</v>
      </c>
      <c r="D13" s="74">
        <v>18</v>
      </c>
      <c r="E13" s="74">
        <v>17.989999999999998</v>
      </c>
      <c r="F13" s="75">
        <f t="shared" ref="F13:F27" si="0">E13-D13</f>
        <v>-1.0000000000001563E-2</v>
      </c>
      <c r="H13">
        <v>1862386</v>
      </c>
    </row>
    <row r="14" spans="1:10" ht="33.75" customHeight="1" x14ac:dyDescent="0.25">
      <c r="A14" s="189">
        <v>3</v>
      </c>
      <c r="B14" s="13" t="s">
        <v>58</v>
      </c>
      <c r="C14" s="11" t="s">
        <v>59</v>
      </c>
      <c r="D14" s="74">
        <v>27.1</v>
      </c>
      <c r="E14" s="74">
        <v>20.785</v>
      </c>
      <c r="F14" s="75">
        <f t="shared" si="0"/>
        <v>-6.3150000000000013</v>
      </c>
      <c r="H14">
        <v>8046465</v>
      </c>
      <c r="J14" t="s">
        <v>196</v>
      </c>
    </row>
    <row r="15" spans="1:10" ht="15" customHeight="1" x14ac:dyDescent="0.25">
      <c r="A15" s="190"/>
      <c r="B15" s="13" t="s">
        <v>60</v>
      </c>
      <c r="C15" s="11" t="s">
        <v>59</v>
      </c>
      <c r="D15" s="74">
        <v>754</v>
      </c>
      <c r="E15" s="74">
        <v>625.42999999999995</v>
      </c>
      <c r="F15" s="75">
        <f t="shared" si="0"/>
        <v>-128.57000000000005</v>
      </c>
      <c r="H15">
        <v>304149455</v>
      </c>
    </row>
    <row r="16" spans="1:10" ht="15" customHeight="1" x14ac:dyDescent="0.25">
      <c r="A16" s="189">
        <v>4</v>
      </c>
      <c r="B16" s="13" t="s">
        <v>61</v>
      </c>
      <c r="C16" s="11" t="s">
        <v>62</v>
      </c>
      <c r="D16" s="74">
        <v>0.15</v>
      </c>
      <c r="E16" s="74">
        <v>0.12</v>
      </c>
      <c r="F16" s="75">
        <f t="shared" si="0"/>
        <v>-0.03</v>
      </c>
      <c r="H16">
        <v>97353.22</v>
      </c>
      <c r="J16" t="s">
        <v>196</v>
      </c>
    </row>
    <row r="17" spans="1:12" ht="31.5" x14ac:dyDescent="0.25">
      <c r="A17" s="190"/>
      <c r="B17" s="13" t="s">
        <v>63</v>
      </c>
      <c r="C17" s="11" t="s">
        <v>62</v>
      </c>
      <c r="D17" s="74">
        <v>0.13</v>
      </c>
      <c r="E17" s="74">
        <v>0.11799999999999999</v>
      </c>
      <c r="F17" s="75">
        <f t="shared" si="0"/>
        <v>-1.2000000000000011E-2</v>
      </c>
      <c r="H17">
        <v>872125.1</v>
      </c>
    </row>
    <row r="18" spans="1:12" ht="31.5" x14ac:dyDescent="0.25">
      <c r="A18" s="189">
        <v>5</v>
      </c>
      <c r="B18" s="13" t="s">
        <v>64</v>
      </c>
      <c r="C18" s="11" t="s">
        <v>54</v>
      </c>
      <c r="D18" s="74">
        <v>0.97</v>
      </c>
      <c r="E18" s="74">
        <v>0.96399999999999997</v>
      </c>
      <c r="F18" s="75">
        <f t="shared" si="0"/>
        <v>-6.0000000000000053E-3</v>
      </c>
      <c r="H18">
        <v>6175090</v>
      </c>
      <c r="J18" t="s">
        <v>195</v>
      </c>
    </row>
    <row r="19" spans="1:12" ht="31.5" x14ac:dyDescent="0.25">
      <c r="A19" s="190"/>
      <c r="B19" s="13" t="s">
        <v>65</v>
      </c>
      <c r="C19" s="11" t="s">
        <v>54</v>
      </c>
      <c r="D19" s="74">
        <v>474.5</v>
      </c>
      <c r="E19" s="74">
        <v>381.24799999999999</v>
      </c>
      <c r="F19" s="75">
        <f t="shared" si="0"/>
        <v>-93.25200000000001</v>
      </c>
      <c r="H19">
        <v>147782320</v>
      </c>
      <c r="K19">
        <v>7398609</v>
      </c>
      <c r="L19" t="s">
        <v>199</v>
      </c>
    </row>
    <row r="20" spans="1:12" ht="30.75" customHeight="1" x14ac:dyDescent="0.25">
      <c r="A20" s="15">
        <v>6</v>
      </c>
      <c r="B20" s="13" t="s">
        <v>66</v>
      </c>
      <c r="C20" s="11" t="s">
        <v>67</v>
      </c>
      <c r="D20" s="74">
        <v>0.312</v>
      </c>
      <c r="E20" s="74">
        <v>0.315</v>
      </c>
      <c r="F20" s="75">
        <f t="shared" si="0"/>
        <v>3.0000000000000027E-3</v>
      </c>
      <c r="H20">
        <v>469123</v>
      </c>
      <c r="K20">
        <v>486300</v>
      </c>
      <c r="L20" t="s">
        <v>197</v>
      </c>
    </row>
    <row r="21" spans="1:12" ht="15.75" x14ac:dyDescent="0.25">
      <c r="A21" s="14">
        <v>7</v>
      </c>
      <c r="B21" s="12" t="s">
        <v>68</v>
      </c>
      <c r="C21" s="11" t="s">
        <v>69</v>
      </c>
      <c r="D21" s="74">
        <v>162.4</v>
      </c>
      <c r="E21" s="74">
        <v>161.9</v>
      </c>
      <c r="F21" s="75">
        <f t="shared" si="0"/>
        <v>-0.5</v>
      </c>
    </row>
    <row r="22" spans="1:12" ht="19.5" customHeight="1" x14ac:dyDescent="0.25">
      <c r="A22" s="14">
        <v>8</v>
      </c>
      <c r="B22" s="12" t="s">
        <v>70</v>
      </c>
      <c r="C22" s="11" t="s">
        <v>23</v>
      </c>
      <c r="D22" s="74">
        <v>20.72</v>
      </c>
      <c r="E22" s="74">
        <v>19.239999999999998</v>
      </c>
      <c r="F22" s="75">
        <f t="shared" si="0"/>
        <v>-1.4800000000000004</v>
      </c>
      <c r="J22" t="s">
        <v>45</v>
      </c>
      <c r="K22">
        <v>812271.9</v>
      </c>
      <c r="L22" t="s">
        <v>198</v>
      </c>
    </row>
    <row r="23" spans="1:12" ht="15.75" x14ac:dyDescent="0.25">
      <c r="A23" s="185">
        <v>9</v>
      </c>
      <c r="B23" s="187" t="s">
        <v>71</v>
      </c>
      <c r="C23" s="11" t="s">
        <v>72</v>
      </c>
      <c r="D23" s="74">
        <v>11423.754999999999</v>
      </c>
      <c r="E23" s="74">
        <v>11376.477999999999</v>
      </c>
      <c r="F23" s="75">
        <f t="shared" si="0"/>
        <v>-47.277000000000044</v>
      </c>
    </row>
    <row r="24" spans="1:12" ht="15.75" x14ac:dyDescent="0.25">
      <c r="A24" s="186"/>
      <c r="B24" s="188"/>
      <c r="C24" s="11" t="s">
        <v>26</v>
      </c>
      <c r="D24" s="74">
        <v>23.8</v>
      </c>
      <c r="E24" s="74">
        <v>23.31</v>
      </c>
      <c r="F24" s="75">
        <f t="shared" si="0"/>
        <v>-0.49000000000000199</v>
      </c>
      <c r="H24" t="s">
        <v>45</v>
      </c>
      <c r="J24" t="s">
        <v>200</v>
      </c>
      <c r="K24">
        <v>387627</v>
      </c>
      <c r="L24" t="s">
        <v>201</v>
      </c>
    </row>
    <row r="25" spans="1:12" ht="15.75" x14ac:dyDescent="0.25">
      <c r="A25" s="185">
        <v>10</v>
      </c>
      <c r="B25" s="187" t="s">
        <v>24</v>
      </c>
      <c r="C25" s="11" t="s">
        <v>25</v>
      </c>
      <c r="D25" s="75">
        <v>295000</v>
      </c>
      <c r="E25" s="75">
        <v>314072.40999999997</v>
      </c>
      <c r="F25" s="75">
        <f t="shared" si="0"/>
        <v>19072.409999999974</v>
      </c>
      <c r="K25">
        <v>103466</v>
      </c>
      <c r="L25" t="s">
        <v>202</v>
      </c>
    </row>
    <row r="26" spans="1:12" ht="15.75" x14ac:dyDescent="0.25">
      <c r="A26" s="186"/>
      <c r="B26" s="188"/>
      <c r="C26" s="11" t="s">
        <v>26</v>
      </c>
      <c r="D26" s="75">
        <v>15.6</v>
      </c>
      <c r="E26" s="75">
        <v>16.559999999999999</v>
      </c>
      <c r="F26" s="75">
        <f t="shared" si="0"/>
        <v>0.95999999999999908</v>
      </c>
      <c r="K26">
        <v>369960</v>
      </c>
      <c r="L26" t="s">
        <v>203</v>
      </c>
    </row>
    <row r="27" spans="1:12" ht="15.75" x14ac:dyDescent="0.25">
      <c r="A27" s="11">
        <v>11</v>
      </c>
      <c r="B27" s="13" t="s">
        <v>73</v>
      </c>
      <c r="C27" s="11" t="s">
        <v>74</v>
      </c>
      <c r="D27" s="75">
        <v>14745.538</v>
      </c>
      <c r="E27" s="77">
        <v>15616.183999999999</v>
      </c>
      <c r="F27" s="75">
        <f t="shared" si="0"/>
        <v>870.64599999999882</v>
      </c>
      <c r="K27">
        <v>297974</v>
      </c>
      <c r="L27" t="s">
        <v>204</v>
      </c>
    </row>
    <row r="28" spans="1:12" x14ac:dyDescent="0.25">
      <c r="D28" s="58"/>
      <c r="E28" s="58"/>
    </row>
    <row r="29" spans="1:12" x14ac:dyDescent="0.25">
      <c r="A29" s="170" t="s">
        <v>249</v>
      </c>
      <c r="B29" s="170"/>
    </row>
    <row r="30" spans="1:12" x14ac:dyDescent="0.25">
      <c r="A30" s="59"/>
      <c r="B30" s="59"/>
    </row>
    <row r="31" spans="1:12" x14ac:dyDescent="0.25">
      <c r="A31" t="s">
        <v>205</v>
      </c>
      <c r="D31" s="165" t="s">
        <v>206</v>
      </c>
      <c r="E31" s="165"/>
      <c r="F31" s="165"/>
    </row>
    <row r="32" spans="1:12" x14ac:dyDescent="0.25">
      <c r="D32" s="165"/>
      <c r="E32" s="165"/>
      <c r="F32" s="165"/>
    </row>
    <row r="33" spans="1:6" x14ac:dyDescent="0.25">
      <c r="A33" t="s">
        <v>207</v>
      </c>
      <c r="D33" s="165" t="s">
        <v>208</v>
      </c>
      <c r="E33" s="165"/>
      <c r="F33" s="165"/>
    </row>
    <row r="34" spans="1:6" x14ac:dyDescent="0.25">
      <c r="D34" s="165"/>
      <c r="E34" s="165"/>
      <c r="F34" s="165"/>
    </row>
    <row r="35" spans="1:6" x14ac:dyDescent="0.25">
      <c r="A35" t="s">
        <v>209</v>
      </c>
      <c r="D35" s="165" t="s">
        <v>210</v>
      </c>
      <c r="E35" s="165"/>
      <c r="F35" s="165"/>
    </row>
    <row r="36" spans="1:6" x14ac:dyDescent="0.25">
      <c r="A36" t="s">
        <v>211</v>
      </c>
      <c r="D36" s="165"/>
      <c r="E36" s="165"/>
      <c r="F36" s="165"/>
    </row>
  </sheetData>
  <mergeCells count="24">
    <mergeCell ref="D2:F2"/>
    <mergeCell ref="C8:C9"/>
    <mergeCell ref="A10:A11"/>
    <mergeCell ref="A12:A13"/>
    <mergeCell ref="A14:A15"/>
    <mergeCell ref="A3:F3"/>
    <mergeCell ref="A16:A17"/>
    <mergeCell ref="A18:A19"/>
    <mergeCell ref="A5:B5"/>
    <mergeCell ref="A6:C6"/>
    <mergeCell ref="D8:F8"/>
    <mergeCell ref="B8:B9"/>
    <mergeCell ref="A8:A9"/>
    <mergeCell ref="D35:F35"/>
    <mergeCell ref="D36:F36"/>
    <mergeCell ref="A23:A24"/>
    <mergeCell ref="B23:B24"/>
    <mergeCell ref="A25:A26"/>
    <mergeCell ref="B25:B26"/>
    <mergeCell ref="A29:B29"/>
    <mergeCell ref="D31:F31"/>
    <mergeCell ref="D32:F32"/>
    <mergeCell ref="D33:F33"/>
    <mergeCell ref="D34:F34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27"/>
  <sheetViews>
    <sheetView tabSelected="1" workbookViewId="0">
      <selection activeCell="H1" sqref="H1"/>
    </sheetView>
  </sheetViews>
  <sheetFormatPr defaultRowHeight="15" x14ac:dyDescent="0.25"/>
  <cols>
    <col min="1" max="1" width="5.28515625" customWidth="1"/>
    <col min="2" max="2" width="26.140625" customWidth="1"/>
    <col min="3" max="3" width="14.85546875" customWidth="1"/>
    <col min="4" max="4" width="13.85546875" customWidth="1"/>
    <col min="5" max="5" width="20.28515625" customWidth="1"/>
    <col min="6" max="6" width="12.140625" customWidth="1"/>
    <col min="7" max="7" width="10.85546875" customWidth="1"/>
    <col min="8" max="8" width="10" customWidth="1"/>
    <col min="9" max="9" width="12.28515625" customWidth="1"/>
    <col min="10" max="10" width="13.28515625" customWidth="1"/>
    <col min="11" max="11" width="12.7109375" customWidth="1"/>
    <col min="12" max="12" width="21.5703125" customWidth="1"/>
    <col min="13" max="13" width="12.7109375" customWidth="1"/>
    <col min="14" max="14" width="9.42578125" bestFit="1" customWidth="1"/>
  </cols>
  <sheetData>
    <row r="1" spans="1:13" ht="86.25" customHeight="1" x14ac:dyDescent="0.25">
      <c r="A1" s="2"/>
      <c r="B1" s="2"/>
      <c r="D1" s="7"/>
      <c r="F1" s="7"/>
      <c r="J1" s="286" t="s">
        <v>20</v>
      </c>
      <c r="K1" s="286"/>
      <c r="L1" s="286"/>
      <c r="M1" s="286"/>
    </row>
    <row r="2" spans="1:13" ht="1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3" x14ac:dyDescent="0.25">
      <c r="A3" s="6"/>
      <c r="B3" s="6"/>
      <c r="C3" s="6"/>
      <c r="D3" s="1"/>
      <c r="E3" s="1"/>
      <c r="F3" s="8" t="s">
        <v>1</v>
      </c>
    </row>
    <row r="4" spans="1:13" x14ac:dyDescent="0.25">
      <c r="A4" s="288" t="s">
        <v>78</v>
      </c>
      <c r="B4" s="288"/>
      <c r="C4" s="6"/>
      <c r="D4" s="6"/>
      <c r="E4" s="6" t="s">
        <v>2</v>
      </c>
      <c r="F4" s="5"/>
      <c r="G4" s="2"/>
      <c r="H4" s="2"/>
      <c r="I4" s="2"/>
      <c r="J4" s="2"/>
      <c r="K4" s="2"/>
      <c r="L4" s="2"/>
      <c r="M4" s="2"/>
    </row>
    <row r="5" spans="1:13" ht="15" customHeight="1" x14ac:dyDescent="0.25">
      <c r="A5" s="293"/>
      <c r="B5" s="293"/>
      <c r="C5" s="293"/>
      <c r="D5" s="293"/>
      <c r="E5" s="6"/>
      <c r="F5" s="5"/>
      <c r="G5" s="2"/>
      <c r="H5" s="2"/>
      <c r="I5" s="2"/>
      <c r="J5" s="2"/>
      <c r="K5" s="2"/>
      <c r="L5" s="2"/>
      <c r="M5" s="2"/>
    </row>
    <row r="6" spans="1:13" ht="10.5" customHeight="1" x14ac:dyDescent="0.25">
      <c r="A6" s="6"/>
      <c r="B6" s="6"/>
      <c r="C6" s="83"/>
      <c r="D6" s="83"/>
      <c r="E6" s="83"/>
      <c r="F6" s="83"/>
      <c r="G6" s="2"/>
      <c r="H6" s="2"/>
      <c r="I6" s="2"/>
      <c r="J6" s="2"/>
      <c r="K6" s="2"/>
      <c r="L6" s="2"/>
      <c r="M6" s="2"/>
    </row>
    <row r="7" spans="1:13" ht="23.25" customHeight="1" x14ac:dyDescent="0.25">
      <c r="A7" s="231" t="s">
        <v>3</v>
      </c>
      <c r="B7" s="231" t="s">
        <v>10</v>
      </c>
      <c r="C7" s="234" t="s">
        <v>11</v>
      </c>
      <c r="D7" s="235"/>
      <c r="E7" s="235"/>
      <c r="F7" s="236"/>
      <c r="G7" s="289" t="s">
        <v>12</v>
      </c>
      <c r="H7" s="290"/>
      <c r="I7" s="290"/>
      <c r="J7" s="290"/>
      <c r="K7" s="290"/>
      <c r="L7" s="290"/>
      <c r="M7" s="291"/>
    </row>
    <row r="8" spans="1:13" ht="28.5" customHeight="1" x14ac:dyDescent="0.25">
      <c r="A8" s="232"/>
      <c r="B8" s="232"/>
      <c r="C8" s="237"/>
      <c r="D8" s="238"/>
      <c r="E8" s="238"/>
      <c r="F8" s="239"/>
      <c r="G8" s="296" t="s">
        <v>14</v>
      </c>
      <c r="H8" s="297"/>
      <c r="I8" s="297"/>
      <c r="J8" s="294"/>
      <c r="K8" s="292" t="s">
        <v>30</v>
      </c>
      <c r="L8" s="292"/>
      <c r="M8" s="292"/>
    </row>
    <row r="9" spans="1:13" ht="16.5" customHeight="1" x14ac:dyDescent="0.25">
      <c r="A9" s="232"/>
      <c r="B9" s="232"/>
      <c r="C9" s="287" t="s">
        <v>13</v>
      </c>
      <c r="D9" s="292" t="s">
        <v>21</v>
      </c>
      <c r="E9" s="292"/>
      <c r="F9" s="292"/>
      <c r="G9" s="292" t="s">
        <v>22</v>
      </c>
      <c r="H9" s="292"/>
      <c r="I9" s="292"/>
      <c r="J9" s="294" t="s">
        <v>15</v>
      </c>
      <c r="K9" s="86"/>
      <c r="L9" s="87"/>
      <c r="M9" s="87"/>
    </row>
    <row r="10" spans="1:13" x14ac:dyDescent="0.25">
      <c r="A10" s="233"/>
      <c r="B10" s="233"/>
      <c r="C10" s="287"/>
      <c r="D10" s="9" t="s">
        <v>7</v>
      </c>
      <c r="E10" s="87" t="s">
        <v>8</v>
      </c>
      <c r="F10" s="87" t="s">
        <v>9</v>
      </c>
      <c r="G10" s="9" t="s">
        <v>7</v>
      </c>
      <c r="H10" s="87" t="s">
        <v>8</v>
      </c>
      <c r="I10" s="87" t="s">
        <v>9</v>
      </c>
      <c r="J10" s="295"/>
      <c r="K10" s="10" t="s">
        <v>7</v>
      </c>
      <c r="L10" s="88" t="s">
        <v>8</v>
      </c>
      <c r="M10" s="88" t="s">
        <v>9</v>
      </c>
    </row>
    <row r="11" spans="1:13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50">
        <v>7</v>
      </c>
      <c r="H11" s="50">
        <v>8</v>
      </c>
      <c r="I11" s="50">
        <v>9</v>
      </c>
      <c r="J11" s="50">
        <v>10</v>
      </c>
      <c r="K11" s="50">
        <v>11</v>
      </c>
      <c r="L11" s="50">
        <v>12</v>
      </c>
      <c r="M11" s="50">
        <v>13</v>
      </c>
    </row>
    <row r="12" spans="1:13" x14ac:dyDescent="0.25">
      <c r="A12" s="256" t="s">
        <v>219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57"/>
    </row>
    <row r="13" spans="1:13" x14ac:dyDescent="0.25">
      <c r="A13" s="28">
        <v>1</v>
      </c>
      <c r="B13" s="18" t="s">
        <v>91</v>
      </c>
      <c r="C13" s="28" t="s">
        <v>29</v>
      </c>
      <c r="D13" s="28">
        <v>0</v>
      </c>
      <c r="E13" s="28">
        <v>0</v>
      </c>
      <c r="F13" s="28">
        <f t="shared" ref="F13:F18" si="0">E13-D13</f>
        <v>0</v>
      </c>
      <c r="G13" s="17" t="s">
        <v>80</v>
      </c>
      <c r="H13" s="17" t="s">
        <v>80</v>
      </c>
      <c r="I13" s="17" t="s">
        <v>80</v>
      </c>
      <c r="J13" s="17" t="s">
        <v>80</v>
      </c>
      <c r="K13" s="17" t="s">
        <v>80</v>
      </c>
      <c r="L13" s="17" t="s">
        <v>80</v>
      </c>
      <c r="M13" s="17" t="s">
        <v>80</v>
      </c>
    </row>
    <row r="14" spans="1:13" ht="36" x14ac:dyDescent="0.25">
      <c r="A14" s="28">
        <v>2</v>
      </c>
      <c r="B14" s="18" t="s">
        <v>92</v>
      </c>
      <c r="C14" s="28" t="s">
        <v>29</v>
      </c>
      <c r="D14" s="28">
        <v>0</v>
      </c>
      <c r="E14" s="28">
        <v>0</v>
      </c>
      <c r="F14" s="28">
        <f t="shared" si="0"/>
        <v>0</v>
      </c>
      <c r="G14" s="17" t="s">
        <v>80</v>
      </c>
      <c r="H14" s="17" t="s">
        <v>80</v>
      </c>
      <c r="I14" s="17" t="s">
        <v>80</v>
      </c>
      <c r="J14" s="17" t="s">
        <v>80</v>
      </c>
      <c r="K14" s="17" t="s">
        <v>80</v>
      </c>
      <c r="L14" s="17" t="s">
        <v>80</v>
      </c>
      <c r="M14" s="17" t="s">
        <v>80</v>
      </c>
    </row>
    <row r="15" spans="1:13" ht="36" x14ac:dyDescent="0.25">
      <c r="A15" s="28">
        <v>3</v>
      </c>
      <c r="B15" s="18" t="s">
        <v>93</v>
      </c>
      <c r="C15" s="28" t="s">
        <v>29</v>
      </c>
      <c r="D15" s="28">
        <v>0</v>
      </c>
      <c r="E15" s="28">
        <v>263.22000000000003</v>
      </c>
      <c r="F15" s="28">
        <f t="shared" si="0"/>
        <v>263.22000000000003</v>
      </c>
      <c r="G15" s="17" t="s">
        <v>80</v>
      </c>
      <c r="H15" s="17" t="s">
        <v>80</v>
      </c>
      <c r="I15" s="17" t="s">
        <v>80</v>
      </c>
      <c r="J15" s="17" t="s">
        <v>80</v>
      </c>
      <c r="K15" s="17" t="s">
        <v>80</v>
      </c>
      <c r="L15" s="17" t="s">
        <v>80</v>
      </c>
      <c r="M15" s="17" t="s">
        <v>80</v>
      </c>
    </row>
    <row r="16" spans="1:13" ht="24" x14ac:dyDescent="0.25">
      <c r="A16" s="26">
        <v>4</v>
      </c>
      <c r="B16" s="19" t="s">
        <v>94</v>
      </c>
      <c r="C16" s="26" t="s">
        <v>29</v>
      </c>
      <c r="D16" s="26">
        <f>120066+8673</f>
        <v>128739</v>
      </c>
      <c r="E16" s="26">
        <f>ROUND((90036.0157+1861.28344),2)</f>
        <v>91897.3</v>
      </c>
      <c r="F16" s="26">
        <f t="shared" si="0"/>
        <v>-36841.699999999997</v>
      </c>
      <c r="G16" s="17">
        <f>0.924+0.059</f>
        <v>0.9830000000000001</v>
      </c>
      <c r="H16" s="17">
        <f>1.31287</f>
        <v>1.31287</v>
      </c>
      <c r="I16" s="17">
        <f>H16-G16</f>
        <v>0.32986999999999989</v>
      </c>
      <c r="J16" s="17" t="s">
        <v>95</v>
      </c>
      <c r="K16" s="17">
        <f>1870+120</f>
        <v>1990</v>
      </c>
      <c r="L16" s="20">
        <f>ROUND((H16*2024.2),2)</f>
        <v>2657.51</v>
      </c>
      <c r="M16" s="21">
        <f>L16-K16</f>
        <v>667.51000000000022</v>
      </c>
    </row>
    <row r="17" spans="1:13" x14ac:dyDescent="0.25">
      <c r="A17" s="28">
        <v>5</v>
      </c>
      <c r="B17" s="18" t="s">
        <v>96</v>
      </c>
      <c r="C17" s="28"/>
      <c r="D17" s="28">
        <v>72</v>
      </c>
      <c r="E17" s="22">
        <f>ROUND((106.46651),2)</f>
        <v>106.47</v>
      </c>
      <c r="F17" s="28">
        <f t="shared" si="0"/>
        <v>34.47</v>
      </c>
      <c r="G17" s="17" t="s">
        <v>80</v>
      </c>
      <c r="H17" s="17" t="s">
        <v>80</v>
      </c>
      <c r="I17" s="17" t="s">
        <v>80</v>
      </c>
      <c r="J17" s="17" t="s">
        <v>80</v>
      </c>
      <c r="K17" s="17" t="s">
        <v>80</v>
      </c>
      <c r="L17" s="17" t="s">
        <v>80</v>
      </c>
      <c r="M17" s="17" t="s">
        <v>80</v>
      </c>
    </row>
    <row r="18" spans="1:13" ht="48" x14ac:dyDescent="0.25">
      <c r="A18" s="28">
        <v>6</v>
      </c>
      <c r="B18" s="18" t="s">
        <v>97</v>
      </c>
      <c r="C18" s="34" t="s">
        <v>29</v>
      </c>
      <c r="D18" s="28">
        <v>618</v>
      </c>
      <c r="E18" s="28">
        <f>ROUND((161.43867),2)</f>
        <v>161.44</v>
      </c>
      <c r="F18" s="28">
        <f t="shared" si="0"/>
        <v>-456.56</v>
      </c>
      <c r="G18" s="17">
        <v>283.5</v>
      </c>
      <c r="H18" s="23">
        <f>90.177</f>
        <v>90.177000000000007</v>
      </c>
      <c r="I18" s="21">
        <f>H18-G18</f>
        <v>-193.32299999999998</v>
      </c>
      <c r="J18" s="24" t="s">
        <v>98</v>
      </c>
      <c r="K18" s="17">
        <v>1633</v>
      </c>
      <c r="L18" s="20">
        <f>ROUND((H18*1000*6.25/1000),2)</f>
        <v>563.61</v>
      </c>
      <c r="M18" s="21">
        <f>L18-K18</f>
        <v>-1069.3899999999999</v>
      </c>
    </row>
    <row r="19" spans="1:13" ht="24" x14ac:dyDescent="0.25">
      <c r="A19" s="26"/>
      <c r="B19" s="25" t="s">
        <v>99</v>
      </c>
      <c r="C19" s="34"/>
      <c r="D19" s="28"/>
      <c r="E19" s="28"/>
      <c r="F19" s="28"/>
      <c r="G19" s="16"/>
      <c r="H19" s="23"/>
      <c r="I19" s="17"/>
      <c r="J19" s="24"/>
      <c r="K19" s="16"/>
      <c r="L19" s="23"/>
      <c r="M19" s="17"/>
    </row>
    <row r="20" spans="1:13" x14ac:dyDescent="0.25">
      <c r="A20" s="26"/>
      <c r="B20" s="25" t="s">
        <v>100</v>
      </c>
      <c r="C20" s="34" t="s">
        <v>29</v>
      </c>
      <c r="D20" s="271">
        <v>931</v>
      </c>
      <c r="E20" s="271">
        <f>ROUND((4353.2592+108.11491),2)</f>
        <v>4461.37</v>
      </c>
      <c r="F20" s="271">
        <f>E20-D20</f>
        <v>3530.37</v>
      </c>
      <c r="G20" s="271" t="s">
        <v>80</v>
      </c>
      <c r="H20" s="271" t="s">
        <v>80</v>
      </c>
      <c r="I20" s="271" t="s">
        <v>80</v>
      </c>
      <c r="J20" s="271" t="s">
        <v>80</v>
      </c>
      <c r="K20" s="271" t="s">
        <v>80</v>
      </c>
      <c r="L20" s="271" t="s">
        <v>80</v>
      </c>
      <c r="M20" s="271" t="s">
        <v>80</v>
      </c>
    </row>
    <row r="21" spans="1:13" x14ac:dyDescent="0.25">
      <c r="A21" s="26"/>
      <c r="B21" s="25" t="s">
        <v>101</v>
      </c>
      <c r="C21" s="34" t="s">
        <v>29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</row>
    <row r="22" spans="1:13" x14ac:dyDescent="0.25">
      <c r="A22" s="26"/>
      <c r="B22" s="18" t="s">
        <v>102</v>
      </c>
      <c r="C22" s="34" t="s">
        <v>29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</row>
    <row r="23" spans="1:13" ht="36" x14ac:dyDescent="0.25">
      <c r="A23" s="299">
        <v>7</v>
      </c>
      <c r="B23" s="18" t="s">
        <v>103</v>
      </c>
      <c r="C23" s="34" t="s">
        <v>29</v>
      </c>
      <c r="D23" s="271">
        <f>793+4</f>
        <v>797</v>
      </c>
      <c r="E23" s="271">
        <f>ROUND((5.68337+1344.09106),2)</f>
        <v>1349.77</v>
      </c>
      <c r="F23" s="271">
        <f>E23-D23</f>
        <v>552.77</v>
      </c>
      <c r="G23" s="17" t="s">
        <v>80</v>
      </c>
      <c r="H23" s="17" t="s">
        <v>80</v>
      </c>
      <c r="I23" s="17" t="s">
        <v>80</v>
      </c>
      <c r="J23" s="17" t="s">
        <v>80</v>
      </c>
      <c r="K23" s="17" t="s">
        <v>80</v>
      </c>
      <c r="L23" s="17" t="s">
        <v>80</v>
      </c>
      <c r="M23" s="17" t="s">
        <v>80</v>
      </c>
    </row>
    <row r="24" spans="1:13" x14ac:dyDescent="0.25">
      <c r="A24" s="300"/>
      <c r="B24" s="27" t="s">
        <v>104</v>
      </c>
      <c r="C24" s="34" t="s">
        <v>29</v>
      </c>
      <c r="D24" s="272"/>
      <c r="E24" s="272"/>
      <c r="F24" s="272"/>
      <c r="G24" s="17"/>
      <c r="H24" s="17"/>
      <c r="I24" s="17"/>
      <c r="J24" s="35"/>
      <c r="K24" s="17"/>
      <c r="L24" s="17"/>
      <c r="M24" s="17"/>
    </row>
    <row r="25" spans="1:13" ht="36" x14ac:dyDescent="0.25">
      <c r="A25" s="284">
        <v>8</v>
      </c>
      <c r="B25" s="29" t="s">
        <v>105</v>
      </c>
      <c r="C25" s="30" t="s">
        <v>29</v>
      </c>
      <c r="D25" s="268">
        <v>2171</v>
      </c>
      <c r="E25" s="271">
        <f>ROUND((254.93212),2)</f>
        <v>254.93</v>
      </c>
      <c r="F25" s="271">
        <f>E25-D25</f>
        <v>-1916.07</v>
      </c>
      <c r="G25" s="31" t="s">
        <v>80</v>
      </c>
      <c r="H25" s="31" t="s">
        <v>80</v>
      </c>
      <c r="I25" s="31" t="s">
        <v>80</v>
      </c>
      <c r="J25" s="31" t="s">
        <v>80</v>
      </c>
      <c r="K25" s="31" t="s">
        <v>80</v>
      </c>
      <c r="L25" s="31" t="s">
        <v>80</v>
      </c>
      <c r="M25" s="31" t="s">
        <v>80</v>
      </c>
    </row>
    <row r="26" spans="1:13" x14ac:dyDescent="0.25">
      <c r="A26" s="284"/>
      <c r="B26" s="29" t="s">
        <v>104</v>
      </c>
      <c r="C26" s="30" t="s">
        <v>29</v>
      </c>
      <c r="D26" s="270"/>
      <c r="E26" s="272"/>
      <c r="F26" s="272"/>
      <c r="G26" s="31" t="s">
        <v>80</v>
      </c>
      <c r="H26" s="31" t="s">
        <v>80</v>
      </c>
      <c r="I26" s="31" t="s">
        <v>80</v>
      </c>
      <c r="J26" s="33" t="s">
        <v>80</v>
      </c>
      <c r="K26" s="31" t="s">
        <v>80</v>
      </c>
      <c r="L26" s="31" t="s">
        <v>80</v>
      </c>
      <c r="M26" s="31" t="s">
        <v>80</v>
      </c>
    </row>
    <row r="27" spans="1:13" x14ac:dyDescent="0.25">
      <c r="A27" s="279">
        <v>9</v>
      </c>
      <c r="B27" s="280" t="s">
        <v>106</v>
      </c>
      <c r="C27" s="283" t="s">
        <v>29</v>
      </c>
      <c r="D27" s="271">
        <f>19393</f>
        <v>19393</v>
      </c>
      <c r="E27" s="271">
        <f>ROUND((18679.07132),2)</f>
        <v>18679.07</v>
      </c>
      <c r="F27" s="271">
        <f>E27-D27</f>
        <v>-713.93000000000029</v>
      </c>
      <c r="G27" s="36">
        <f>0.062+0.14</f>
        <v>0.20200000000000001</v>
      </c>
      <c r="H27" s="37">
        <v>0.13163</v>
      </c>
      <c r="I27" s="38">
        <f>H27-G27</f>
        <v>-7.0370000000000016E-2</v>
      </c>
      <c r="J27" s="33" t="s">
        <v>107</v>
      </c>
      <c r="K27" s="268">
        <f>145+135+840+123+3+676</f>
        <v>1922</v>
      </c>
      <c r="L27" s="268">
        <f>ROUND(((131.63*21.73+290*16.83+42153*6.25+4488.92*197.5)/1000),2)</f>
        <v>1157.76</v>
      </c>
      <c r="M27" s="268">
        <f>L27-K27</f>
        <v>-764.24</v>
      </c>
    </row>
    <row r="28" spans="1:13" x14ac:dyDescent="0.25">
      <c r="A28" s="279"/>
      <c r="B28" s="281"/>
      <c r="C28" s="283"/>
      <c r="D28" s="272"/>
      <c r="E28" s="272"/>
      <c r="F28" s="272"/>
      <c r="G28" s="36">
        <f>30.533+28</f>
        <v>58.533000000000001</v>
      </c>
      <c r="H28" s="37">
        <v>42.152999999999999</v>
      </c>
      <c r="I28" s="38">
        <f>H28-G28</f>
        <v>-16.380000000000003</v>
      </c>
      <c r="J28" s="33" t="s">
        <v>108</v>
      </c>
      <c r="K28" s="269"/>
      <c r="L28" s="269"/>
      <c r="M28" s="269"/>
    </row>
    <row r="29" spans="1:13" ht="31.5" x14ac:dyDescent="0.25">
      <c r="A29" s="279"/>
      <c r="B29" s="282"/>
      <c r="C29" s="39" t="s">
        <v>109</v>
      </c>
      <c r="D29" s="40">
        <f>3703+8237+12933</f>
        <v>24873</v>
      </c>
      <c r="E29" s="34">
        <f>ROUND((14574.18812),2)</f>
        <v>14574.19</v>
      </c>
      <c r="F29" s="41">
        <f>E29-D29</f>
        <v>-10298.81</v>
      </c>
      <c r="G29" s="36">
        <f>166.2+133.7</f>
        <v>299.89999999999998</v>
      </c>
      <c r="H29" s="37">
        <v>197.5</v>
      </c>
      <c r="I29" s="38">
        <f>H29-G29</f>
        <v>-102.39999999999998</v>
      </c>
      <c r="J29" s="31" t="s">
        <v>110</v>
      </c>
      <c r="K29" s="270"/>
      <c r="L29" s="270"/>
      <c r="M29" s="270"/>
    </row>
    <row r="30" spans="1:13" x14ac:dyDescent="0.25">
      <c r="A30" s="271">
        <v>10</v>
      </c>
      <c r="B30" s="273" t="s">
        <v>111</v>
      </c>
      <c r="C30" s="42" t="s">
        <v>29</v>
      </c>
      <c r="D30" s="40">
        <f>1150</f>
        <v>1150</v>
      </c>
      <c r="E30" s="40">
        <f>ROUND((1237.54344),2)</f>
        <v>1237.54</v>
      </c>
      <c r="F30" s="40">
        <f>E30-D30</f>
        <v>87.539999999999964</v>
      </c>
      <c r="G30" s="268">
        <v>0</v>
      </c>
      <c r="H30" s="275">
        <v>0</v>
      </c>
      <c r="I30" s="277">
        <f>G30-H30</f>
        <v>0</v>
      </c>
      <c r="J30" s="268" t="s">
        <v>110</v>
      </c>
      <c r="K30" s="268">
        <v>0</v>
      </c>
      <c r="L30" s="268">
        <f>ROUND((H30*4442.51/1000),3)</f>
        <v>0</v>
      </c>
      <c r="M30" s="268">
        <f>K30-L30</f>
        <v>0</v>
      </c>
    </row>
    <row r="31" spans="1:13" ht="31.5" x14ac:dyDescent="0.25">
      <c r="A31" s="272"/>
      <c r="B31" s="274"/>
      <c r="C31" s="39" t="s">
        <v>109</v>
      </c>
      <c r="D31" s="40">
        <f>212+1652</f>
        <v>1864</v>
      </c>
      <c r="E31" s="40">
        <f>ROUND((800),2)</f>
        <v>800</v>
      </c>
      <c r="F31" s="40">
        <f>D31-E31</f>
        <v>1064</v>
      </c>
      <c r="G31" s="270"/>
      <c r="H31" s="276"/>
      <c r="I31" s="278"/>
      <c r="J31" s="270"/>
      <c r="K31" s="270"/>
      <c r="L31" s="270"/>
      <c r="M31" s="270"/>
    </row>
    <row r="32" spans="1:13" x14ac:dyDescent="0.25">
      <c r="A32" s="284" t="s">
        <v>16</v>
      </c>
      <c r="B32" s="284"/>
      <c r="C32" s="215" t="s">
        <v>17</v>
      </c>
      <c r="D32" s="43">
        <f>SUM(D13:D31)</f>
        <v>180608</v>
      </c>
      <c r="E32" s="99">
        <f>SUM(E13:E31)</f>
        <v>133785.30000000002</v>
      </c>
      <c r="F32" s="215" t="s">
        <v>17</v>
      </c>
      <c r="G32" s="215" t="s">
        <v>17</v>
      </c>
      <c r="H32" s="34" t="s">
        <v>17</v>
      </c>
      <c r="I32" s="34" t="s">
        <v>17</v>
      </c>
      <c r="J32" s="33" t="s">
        <v>17</v>
      </c>
      <c r="K32" s="31">
        <f>K16+K18+K27+K30</f>
        <v>5545</v>
      </c>
      <c r="L32" s="107">
        <f>L16+L18+L27</f>
        <v>4378.88</v>
      </c>
      <c r="M32" s="215" t="s">
        <v>17</v>
      </c>
    </row>
    <row r="33" spans="1:13" x14ac:dyDescent="0.25">
      <c r="A33" s="303" t="s">
        <v>18</v>
      </c>
      <c r="B33" s="304"/>
      <c r="C33" s="298"/>
      <c r="D33" s="215">
        <v>180608</v>
      </c>
      <c r="E33" s="215">
        <v>133785.29999999999</v>
      </c>
      <c r="F33" s="298"/>
      <c r="G33" s="298"/>
      <c r="H33" s="217">
        <v>1312.87</v>
      </c>
      <c r="I33" s="218"/>
      <c r="J33" s="108" t="s">
        <v>25</v>
      </c>
      <c r="K33" s="301">
        <f>L16</f>
        <v>2657.51</v>
      </c>
      <c r="L33" s="302"/>
      <c r="M33" s="298"/>
    </row>
    <row r="34" spans="1:13" x14ac:dyDescent="0.25">
      <c r="A34" s="305"/>
      <c r="B34" s="306"/>
      <c r="C34" s="298"/>
      <c r="D34" s="298"/>
      <c r="E34" s="298"/>
      <c r="F34" s="298"/>
      <c r="G34" s="298"/>
      <c r="H34" s="258">
        <f>H27</f>
        <v>0.13163</v>
      </c>
      <c r="I34" s="259"/>
      <c r="J34" s="109" t="s">
        <v>107</v>
      </c>
      <c r="K34" s="260">
        <v>3.1680000000000001</v>
      </c>
      <c r="L34" s="261"/>
      <c r="M34" s="298"/>
    </row>
    <row r="35" spans="1:13" x14ac:dyDescent="0.25">
      <c r="A35" s="305"/>
      <c r="B35" s="306"/>
      <c r="C35" s="298"/>
      <c r="D35" s="298"/>
      <c r="E35" s="298"/>
      <c r="F35" s="298"/>
      <c r="G35" s="298"/>
      <c r="H35" s="258">
        <f>H28+H18</f>
        <v>132.33000000000001</v>
      </c>
      <c r="I35" s="259"/>
      <c r="J35" s="109" t="s">
        <v>108</v>
      </c>
      <c r="K35" s="260">
        <v>826.92100000000005</v>
      </c>
      <c r="L35" s="261"/>
      <c r="M35" s="298"/>
    </row>
    <row r="36" spans="1:13" x14ac:dyDescent="0.25">
      <c r="A36" s="307"/>
      <c r="B36" s="308"/>
      <c r="C36" s="216"/>
      <c r="D36" s="216"/>
      <c r="E36" s="216"/>
      <c r="F36" s="216"/>
      <c r="G36" s="216"/>
      <c r="H36" s="258">
        <f>H30+H29</f>
        <v>197.5</v>
      </c>
      <c r="I36" s="259"/>
      <c r="J36" s="102" t="s">
        <v>110</v>
      </c>
      <c r="K36" s="260">
        <v>891.23699999999997</v>
      </c>
      <c r="L36" s="261"/>
      <c r="M36" s="216"/>
    </row>
    <row r="37" spans="1:13" x14ac:dyDescent="0.25">
      <c r="A37" s="321" t="s">
        <v>175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</row>
    <row r="38" spans="1:13" ht="67.5" customHeight="1" x14ac:dyDescent="0.25">
      <c r="A38" s="4">
        <v>1</v>
      </c>
      <c r="B38" s="110" t="s">
        <v>176</v>
      </c>
      <c r="C38" s="34" t="s">
        <v>29</v>
      </c>
      <c r="D38" s="111"/>
      <c r="E38" s="111">
        <v>20</v>
      </c>
      <c r="F38" s="89"/>
      <c r="G38" s="89"/>
      <c r="H38" s="111">
        <v>2.3199999999999998</v>
      </c>
      <c r="I38" s="89"/>
      <c r="J38" s="33" t="s">
        <v>108</v>
      </c>
      <c r="K38" s="89"/>
      <c r="L38" s="111">
        <v>8.51</v>
      </c>
      <c r="M38" s="89"/>
    </row>
    <row r="39" spans="1:13" ht="30" x14ac:dyDescent="0.25">
      <c r="A39" s="4">
        <v>2</v>
      </c>
      <c r="B39" s="110" t="s">
        <v>178</v>
      </c>
      <c r="C39" s="34" t="s">
        <v>29</v>
      </c>
      <c r="D39" s="89"/>
      <c r="E39" s="89"/>
      <c r="F39" s="89"/>
      <c r="G39" s="89"/>
      <c r="H39" s="111">
        <v>1</v>
      </c>
      <c r="I39" s="89"/>
      <c r="J39" s="33" t="s">
        <v>108</v>
      </c>
      <c r="K39" s="89"/>
      <c r="L39" s="111">
        <v>3.67</v>
      </c>
      <c r="M39" s="89"/>
    </row>
    <row r="40" spans="1:13" ht="60" x14ac:dyDescent="0.25">
      <c r="A40" s="4">
        <v>3</v>
      </c>
      <c r="B40" s="110" t="s">
        <v>179</v>
      </c>
      <c r="C40" s="34" t="s">
        <v>29</v>
      </c>
      <c r="D40" s="89"/>
      <c r="E40" s="111">
        <v>38</v>
      </c>
      <c r="F40" s="89"/>
      <c r="G40" s="89"/>
      <c r="H40" s="111">
        <v>4</v>
      </c>
      <c r="I40" s="89"/>
      <c r="J40" s="33" t="s">
        <v>108</v>
      </c>
      <c r="K40" s="89"/>
      <c r="L40" s="111">
        <v>14.71</v>
      </c>
      <c r="M40" s="89"/>
    </row>
    <row r="41" spans="1:13" ht="60" x14ac:dyDescent="0.25">
      <c r="A41" s="4">
        <v>4</v>
      </c>
      <c r="B41" s="110" t="s">
        <v>180</v>
      </c>
      <c r="C41" s="34" t="s">
        <v>29</v>
      </c>
      <c r="D41" s="89"/>
      <c r="E41" s="111">
        <v>18</v>
      </c>
      <c r="F41" s="89"/>
      <c r="G41" s="89"/>
      <c r="H41" s="111">
        <v>0.35</v>
      </c>
      <c r="I41" s="89"/>
      <c r="J41" s="33" t="s">
        <v>107</v>
      </c>
      <c r="K41" s="89"/>
      <c r="L41" s="111">
        <v>9.859</v>
      </c>
      <c r="M41" s="89"/>
    </row>
    <row r="42" spans="1:13" ht="60" x14ac:dyDescent="0.25">
      <c r="A42" s="4">
        <v>5</v>
      </c>
      <c r="B42" s="110" t="s">
        <v>182</v>
      </c>
      <c r="C42" s="34" t="s">
        <v>29</v>
      </c>
      <c r="D42" s="89"/>
      <c r="E42" s="111">
        <v>320</v>
      </c>
      <c r="F42" s="89"/>
      <c r="G42" s="89"/>
      <c r="H42" s="111">
        <v>1</v>
      </c>
      <c r="I42" s="89"/>
      <c r="J42" s="33" t="s">
        <v>108</v>
      </c>
      <c r="K42" s="89"/>
      <c r="L42" s="111">
        <v>3.69</v>
      </c>
      <c r="M42" s="89"/>
    </row>
    <row r="43" spans="1:13" x14ac:dyDescent="0.25">
      <c r="A43" s="284" t="s">
        <v>16</v>
      </c>
      <c r="B43" s="284"/>
      <c r="C43" s="34" t="s">
        <v>17</v>
      </c>
      <c r="D43" s="104"/>
      <c r="E43" s="40">
        <f>SUM(E38:E42)</f>
        <v>396</v>
      </c>
      <c r="F43" s="40" t="s">
        <v>17</v>
      </c>
      <c r="G43" s="40" t="s">
        <v>17</v>
      </c>
      <c r="H43" s="40" t="s">
        <v>17</v>
      </c>
      <c r="I43" s="40" t="s">
        <v>17</v>
      </c>
      <c r="J43" s="34" t="s">
        <v>17</v>
      </c>
      <c r="K43" s="32"/>
      <c r="L43" s="112">
        <f>SUM(L38:L42)</f>
        <v>40.439</v>
      </c>
      <c r="M43" s="40" t="s">
        <v>17</v>
      </c>
    </row>
    <row r="44" spans="1:13" x14ac:dyDescent="0.25">
      <c r="A44" s="223" t="s">
        <v>18</v>
      </c>
      <c r="B44" s="224"/>
      <c r="C44" s="215" t="s">
        <v>17</v>
      </c>
      <c r="D44" s="215"/>
      <c r="E44" s="215">
        <v>369</v>
      </c>
      <c r="F44" s="215" t="s">
        <v>17</v>
      </c>
      <c r="G44" s="215" t="s">
        <v>17</v>
      </c>
      <c r="H44" s="217">
        <f>H42+H40+H39+H38</f>
        <v>8.32</v>
      </c>
      <c r="I44" s="218"/>
      <c r="J44" s="102" t="s">
        <v>98</v>
      </c>
      <c r="K44" s="219">
        <f>L42+L40+L39+L38</f>
        <v>30.58</v>
      </c>
      <c r="L44" s="220"/>
      <c r="M44" s="215" t="s">
        <v>17</v>
      </c>
    </row>
    <row r="45" spans="1:13" x14ac:dyDescent="0.25">
      <c r="A45" s="225"/>
      <c r="B45" s="226"/>
      <c r="C45" s="216"/>
      <c r="D45" s="216"/>
      <c r="E45" s="216"/>
      <c r="F45" s="216"/>
      <c r="G45" s="216"/>
      <c r="H45" s="217">
        <v>0.35</v>
      </c>
      <c r="I45" s="218"/>
      <c r="J45" s="109" t="s">
        <v>107</v>
      </c>
      <c r="K45" s="219">
        <v>9.859</v>
      </c>
      <c r="L45" s="220"/>
      <c r="M45" s="216"/>
    </row>
    <row r="46" spans="1:13" x14ac:dyDescent="0.25">
      <c r="A46" s="9"/>
      <c r="B46" s="209" t="s">
        <v>221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210"/>
    </row>
    <row r="47" spans="1:13" ht="105" x14ac:dyDescent="0.25">
      <c r="A47" s="44">
        <v>1</v>
      </c>
      <c r="B47" s="45" t="s">
        <v>115</v>
      </c>
      <c r="C47" s="81" t="s">
        <v>29</v>
      </c>
      <c r="D47" s="46">
        <v>22.25</v>
      </c>
      <c r="E47" s="46">
        <v>12.8</v>
      </c>
      <c r="F47" s="46">
        <v>-9.4499999999999993</v>
      </c>
      <c r="G47" s="46">
        <v>1.7849999999999999</v>
      </c>
      <c r="H47" s="46">
        <v>8.1069999999999993</v>
      </c>
      <c r="I47" s="46">
        <v>9.8919999999999995</v>
      </c>
      <c r="J47" s="78" t="s">
        <v>108</v>
      </c>
      <c r="K47" s="46">
        <v>9.91</v>
      </c>
      <c r="L47" s="46">
        <v>44.993000000000002</v>
      </c>
      <c r="M47" s="46">
        <v>54.902999999999999</v>
      </c>
    </row>
    <row r="48" spans="1:13" ht="90" x14ac:dyDescent="0.25">
      <c r="A48" s="44">
        <v>2</v>
      </c>
      <c r="B48" s="47" t="s">
        <v>116</v>
      </c>
      <c r="C48" s="81" t="s">
        <v>29</v>
      </c>
      <c r="D48" s="48">
        <v>4.2</v>
      </c>
      <c r="E48" s="48">
        <v>0</v>
      </c>
      <c r="F48" s="48">
        <v>-4.2</v>
      </c>
      <c r="G48" s="48">
        <v>5.2999999999999999E-2</v>
      </c>
      <c r="H48" s="48">
        <v>7.5999999999999998E-2</v>
      </c>
      <c r="I48" s="48">
        <v>2.1999999999999999E-2</v>
      </c>
      <c r="J48" s="78" t="s">
        <v>107</v>
      </c>
      <c r="K48" s="48">
        <v>2.4140000000000001</v>
      </c>
      <c r="L48" s="48">
        <v>3.42</v>
      </c>
      <c r="M48" s="48">
        <v>1.01</v>
      </c>
    </row>
    <row r="49" spans="1:13" x14ac:dyDescent="0.25">
      <c r="A49" s="209" t="s">
        <v>16</v>
      </c>
      <c r="B49" s="209"/>
      <c r="C49" s="209"/>
      <c r="D49" s="46">
        <v>26.45</v>
      </c>
      <c r="E49" s="114">
        <v>12.8</v>
      </c>
      <c r="F49" s="46">
        <v>-13.65</v>
      </c>
      <c r="G49" s="46" t="s">
        <v>17</v>
      </c>
      <c r="H49" s="46" t="s">
        <v>17</v>
      </c>
      <c r="I49" s="46" t="s">
        <v>117</v>
      </c>
      <c r="J49" s="46" t="s">
        <v>117</v>
      </c>
      <c r="K49" s="46">
        <v>12.32</v>
      </c>
      <c r="L49" s="49">
        <f>SUM(L47:L48)</f>
        <v>48.413000000000004</v>
      </c>
      <c r="M49" s="46">
        <v>53.893000000000001</v>
      </c>
    </row>
    <row r="50" spans="1:13" x14ac:dyDescent="0.25">
      <c r="A50" s="223" t="s">
        <v>18</v>
      </c>
      <c r="B50" s="224"/>
      <c r="C50" s="215" t="s">
        <v>17</v>
      </c>
      <c r="D50" s="215">
        <v>26.45</v>
      </c>
      <c r="E50" s="215">
        <v>12.8</v>
      </c>
      <c r="F50" s="215" t="s">
        <v>17</v>
      </c>
      <c r="G50" s="215" t="s">
        <v>17</v>
      </c>
      <c r="H50" s="217">
        <v>8.11</v>
      </c>
      <c r="I50" s="218"/>
      <c r="J50" s="102" t="s">
        <v>98</v>
      </c>
      <c r="K50" s="219">
        <v>44.99</v>
      </c>
      <c r="L50" s="220"/>
      <c r="M50" s="215" t="s">
        <v>17</v>
      </c>
    </row>
    <row r="51" spans="1:13" x14ac:dyDescent="0.25">
      <c r="A51" s="225"/>
      <c r="B51" s="226"/>
      <c r="C51" s="216"/>
      <c r="D51" s="216"/>
      <c r="E51" s="216"/>
      <c r="F51" s="216"/>
      <c r="G51" s="216"/>
      <c r="H51" s="217">
        <v>0.08</v>
      </c>
      <c r="I51" s="218"/>
      <c r="J51" s="109" t="s">
        <v>107</v>
      </c>
      <c r="K51" s="219">
        <v>3.42</v>
      </c>
      <c r="L51" s="220"/>
      <c r="M51" s="216"/>
    </row>
    <row r="52" spans="1:13" x14ac:dyDescent="0.25">
      <c r="A52" s="256" t="s">
        <v>218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57"/>
    </row>
    <row r="53" spans="1:13" ht="75" x14ac:dyDescent="0.25">
      <c r="A53" s="87" t="s">
        <v>27</v>
      </c>
      <c r="B53" s="5" t="s">
        <v>81</v>
      </c>
      <c r="C53" s="87" t="s">
        <v>29</v>
      </c>
      <c r="D53" s="90">
        <v>0</v>
      </c>
      <c r="E53" s="87">
        <v>0</v>
      </c>
      <c r="F53" s="87">
        <v>0</v>
      </c>
      <c r="G53" s="91">
        <v>4457.6000000000004</v>
      </c>
      <c r="H53" s="92">
        <v>42699</v>
      </c>
      <c r="I53" s="91">
        <f>H53-G53</f>
        <v>38241.4</v>
      </c>
      <c r="J53" s="9" t="s">
        <v>79</v>
      </c>
      <c r="K53" s="9">
        <v>19.100000000000001</v>
      </c>
      <c r="L53" s="93">
        <f>0.25680206*1000</f>
        <v>256.80205999999998</v>
      </c>
      <c r="M53" s="46">
        <f t="shared" ref="M53:M58" si="1">L53-K53</f>
        <v>237.70205999999999</v>
      </c>
    </row>
    <row r="54" spans="1:13" ht="75" x14ac:dyDescent="0.25">
      <c r="A54" s="87" t="s">
        <v>28</v>
      </c>
      <c r="B54" s="5" t="s">
        <v>82</v>
      </c>
      <c r="C54" s="87" t="s">
        <v>29</v>
      </c>
      <c r="D54" s="94">
        <v>1183</v>
      </c>
      <c r="E54" s="87">
        <f>880.46-E53</f>
        <v>880.46</v>
      </c>
      <c r="F54" s="87">
        <f>D54-E54</f>
        <v>302.53999999999996</v>
      </c>
      <c r="G54" s="91">
        <v>10987.76</v>
      </c>
      <c r="H54" s="92">
        <v>237574</v>
      </c>
      <c r="I54" s="91">
        <f>H54-G54</f>
        <v>226586.23999999999</v>
      </c>
      <c r="J54" s="9" t="s">
        <v>79</v>
      </c>
      <c r="K54" s="46">
        <v>45.6</v>
      </c>
      <c r="L54" s="9">
        <v>1190</v>
      </c>
      <c r="M54" s="46">
        <f t="shared" si="1"/>
        <v>1144.4000000000001</v>
      </c>
    </row>
    <row r="55" spans="1:13" ht="32.25" customHeight="1" x14ac:dyDescent="0.25">
      <c r="A55" s="87" t="s">
        <v>83</v>
      </c>
      <c r="B55" s="5" t="s">
        <v>84</v>
      </c>
      <c r="C55" s="87" t="s">
        <v>29</v>
      </c>
      <c r="D55" s="94">
        <v>0</v>
      </c>
      <c r="E55" s="87">
        <v>1632</v>
      </c>
      <c r="F55" s="87">
        <f>D55-E55</f>
        <v>-1632</v>
      </c>
      <c r="G55" s="91">
        <v>9452.0400000000009</v>
      </c>
      <c r="H55" s="92">
        <v>21274</v>
      </c>
      <c r="I55" s="91">
        <f>H55-G55</f>
        <v>11821.96</v>
      </c>
      <c r="J55" s="9" t="s">
        <v>79</v>
      </c>
      <c r="K55" s="46">
        <v>45</v>
      </c>
      <c r="L55" s="9">
        <v>117.43</v>
      </c>
      <c r="M55" s="46">
        <f t="shared" si="1"/>
        <v>72.430000000000007</v>
      </c>
    </row>
    <row r="56" spans="1:13" ht="45" x14ac:dyDescent="0.25">
      <c r="A56" s="87" t="s">
        <v>87</v>
      </c>
      <c r="B56" s="5" t="s">
        <v>88</v>
      </c>
      <c r="C56" s="87" t="s">
        <v>29</v>
      </c>
      <c r="D56" s="94">
        <v>0</v>
      </c>
      <c r="E56" s="87">
        <v>613.41999999999996</v>
      </c>
      <c r="F56" s="87">
        <f>D56-E56</f>
        <v>-613.41999999999996</v>
      </c>
      <c r="G56" s="91">
        <v>0</v>
      </c>
      <c r="H56" s="92">
        <v>2099.9679999999998</v>
      </c>
      <c r="I56" s="91">
        <f>G56-H56</f>
        <v>-2099.9679999999998</v>
      </c>
      <c r="J56" s="9" t="s">
        <v>25</v>
      </c>
      <c r="K56" s="95">
        <v>0</v>
      </c>
      <c r="L56" s="9">
        <v>4280.0280000000002</v>
      </c>
      <c r="M56" s="46">
        <f t="shared" si="1"/>
        <v>4280.0280000000002</v>
      </c>
    </row>
    <row r="57" spans="1:13" ht="45" x14ac:dyDescent="0.25">
      <c r="A57" s="87" t="s">
        <v>89</v>
      </c>
      <c r="B57" s="5" t="s">
        <v>85</v>
      </c>
      <c r="C57" s="87" t="s">
        <v>29</v>
      </c>
      <c r="D57" s="94">
        <v>0</v>
      </c>
      <c r="E57" s="87">
        <f>32309+35896</f>
        <v>68205</v>
      </c>
      <c r="F57" s="87">
        <f>D57-E57</f>
        <v>-68205</v>
      </c>
      <c r="G57" s="91">
        <f>4113+4113</f>
        <v>8226</v>
      </c>
      <c r="H57" s="92">
        <f>700.7532888+601.37098255</f>
        <v>1302.1242713500001</v>
      </c>
      <c r="I57" s="91">
        <f>H57-G57</f>
        <v>-6923.8757286500004</v>
      </c>
      <c r="J57" s="9" t="s">
        <v>181</v>
      </c>
      <c r="K57" s="46">
        <f>87320+70453</f>
        <v>157773</v>
      </c>
      <c r="L57" s="9">
        <f>14877+12767</f>
        <v>27644</v>
      </c>
      <c r="M57" s="46">
        <f t="shared" si="1"/>
        <v>-130129</v>
      </c>
    </row>
    <row r="58" spans="1:13" ht="30" x14ac:dyDescent="0.25">
      <c r="A58" s="87" t="s">
        <v>28</v>
      </c>
      <c r="B58" s="5" t="s">
        <v>90</v>
      </c>
      <c r="C58" s="87" t="s">
        <v>29</v>
      </c>
      <c r="D58" s="87">
        <v>0</v>
      </c>
      <c r="E58" s="96">
        <v>5805</v>
      </c>
      <c r="F58" s="94">
        <f>E58-D58</f>
        <v>5805</v>
      </c>
      <c r="G58" s="9">
        <v>0</v>
      </c>
      <c r="H58" s="92">
        <v>20441</v>
      </c>
      <c r="I58" s="92">
        <f>H58-G58</f>
        <v>20441</v>
      </c>
      <c r="J58" s="9" t="s">
        <v>79</v>
      </c>
      <c r="K58" s="9">
        <v>0</v>
      </c>
      <c r="L58" s="9">
        <v>102.41</v>
      </c>
      <c r="M58" s="9">
        <f t="shared" si="1"/>
        <v>102.41</v>
      </c>
    </row>
    <row r="59" spans="1:13" x14ac:dyDescent="0.25">
      <c r="A59" s="248" t="s">
        <v>16</v>
      </c>
      <c r="B59" s="206"/>
      <c r="C59" s="88" t="s">
        <v>17</v>
      </c>
      <c r="D59" s="97">
        <f>SUM(D53:D58)</f>
        <v>1183</v>
      </c>
      <c r="E59" s="97">
        <f t="shared" ref="E59:F59" si="2">SUM(E53:E58)</f>
        <v>77135.88</v>
      </c>
      <c r="F59" s="97">
        <f t="shared" si="2"/>
        <v>-64342.880000000005</v>
      </c>
      <c r="G59" s="98">
        <f>SUM(G53+G54+G55+G58)</f>
        <v>24897.4</v>
      </c>
      <c r="H59" s="98">
        <f>SUM(H53+H54+H55+H58)</f>
        <v>321988</v>
      </c>
      <c r="I59" s="98">
        <f t="shared" ref="I59" si="3">SUM(I53+I54+I55+I58)</f>
        <v>297090.60000000003</v>
      </c>
      <c r="J59" s="10" t="s">
        <v>17</v>
      </c>
      <c r="K59" s="10">
        <f>SUM(K53:K58)</f>
        <v>157882.70000000001</v>
      </c>
      <c r="L59" s="113">
        <f t="shared" ref="L59:M59" si="4">SUM(L53:L58)</f>
        <v>33590.670060000004</v>
      </c>
      <c r="M59" s="10">
        <f t="shared" si="4"/>
        <v>-124292.02993999999</v>
      </c>
    </row>
    <row r="60" spans="1:13" x14ac:dyDescent="0.25">
      <c r="A60" s="315" t="s">
        <v>18</v>
      </c>
      <c r="B60" s="316"/>
      <c r="C60" s="199" t="s">
        <v>17</v>
      </c>
      <c r="D60" s="312">
        <v>1183</v>
      </c>
      <c r="E60" s="312">
        <v>77135.899999999994</v>
      </c>
      <c r="F60" s="215" t="s">
        <v>117</v>
      </c>
      <c r="G60" s="199" t="s">
        <v>17</v>
      </c>
      <c r="H60" s="207">
        <v>321.988</v>
      </c>
      <c r="I60" s="208"/>
      <c r="J60" s="102" t="s">
        <v>98</v>
      </c>
      <c r="K60" s="262">
        <f>L58+L55+L54+L53</f>
        <v>1666.6420599999999</v>
      </c>
      <c r="L60" s="263"/>
      <c r="M60" s="309" t="s">
        <v>117</v>
      </c>
    </row>
    <row r="61" spans="1:13" x14ac:dyDescent="0.25">
      <c r="A61" s="317"/>
      <c r="B61" s="318"/>
      <c r="C61" s="230"/>
      <c r="D61" s="313"/>
      <c r="E61" s="313"/>
      <c r="F61" s="298"/>
      <c r="G61" s="230"/>
      <c r="H61" s="258">
        <v>1302.124</v>
      </c>
      <c r="I61" s="259"/>
      <c r="J61" s="109" t="s">
        <v>107</v>
      </c>
      <c r="K61" s="260">
        <v>27644</v>
      </c>
      <c r="L61" s="261"/>
      <c r="M61" s="310"/>
    </row>
    <row r="62" spans="1:13" x14ac:dyDescent="0.25">
      <c r="A62" s="319"/>
      <c r="B62" s="320"/>
      <c r="C62" s="200"/>
      <c r="D62" s="314"/>
      <c r="E62" s="314"/>
      <c r="F62" s="216"/>
      <c r="G62" s="200"/>
      <c r="H62" s="258">
        <v>2100</v>
      </c>
      <c r="I62" s="259"/>
      <c r="J62" s="108" t="s">
        <v>25</v>
      </c>
      <c r="K62" s="260">
        <v>4280.0280000000002</v>
      </c>
      <c r="L62" s="261"/>
      <c r="M62" s="311"/>
    </row>
    <row r="63" spans="1:13" x14ac:dyDescent="0.25">
      <c r="A63" s="242" t="s">
        <v>228</v>
      </c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</row>
    <row r="64" spans="1:13" ht="30" x14ac:dyDescent="0.25">
      <c r="A64" s="115" t="s">
        <v>27</v>
      </c>
      <c r="B64" s="116" t="s">
        <v>113</v>
      </c>
      <c r="C64" s="117" t="s">
        <v>29</v>
      </c>
      <c r="D64" s="118" t="s">
        <v>158</v>
      </c>
      <c r="E64" s="118" t="s">
        <v>158</v>
      </c>
      <c r="F64" s="119" t="s">
        <v>17</v>
      </c>
      <c r="G64" s="120" t="s">
        <v>220</v>
      </c>
      <c r="H64" s="120" t="s">
        <v>220</v>
      </c>
      <c r="I64" s="120" t="s">
        <v>159</v>
      </c>
      <c r="J64" s="82" t="s">
        <v>98</v>
      </c>
      <c r="K64" s="120" t="s">
        <v>160</v>
      </c>
      <c r="L64" s="120" t="s">
        <v>160</v>
      </c>
      <c r="M64" s="120" t="s">
        <v>159</v>
      </c>
    </row>
    <row r="65" spans="1:22" x14ac:dyDescent="0.25">
      <c r="A65" s="244" t="s">
        <v>16</v>
      </c>
      <c r="B65" s="244"/>
      <c r="C65" s="121" t="s">
        <v>17</v>
      </c>
      <c r="D65" s="122" t="s">
        <v>161</v>
      </c>
      <c r="E65" s="122" t="s">
        <v>161</v>
      </c>
      <c r="F65" s="119" t="s">
        <v>17</v>
      </c>
      <c r="G65" s="120" t="s">
        <v>220</v>
      </c>
      <c r="H65" s="120" t="s">
        <v>220</v>
      </c>
      <c r="I65" s="119" t="s">
        <v>17</v>
      </c>
      <c r="J65" s="119" t="s">
        <v>17</v>
      </c>
      <c r="K65" s="123" t="s">
        <v>160</v>
      </c>
      <c r="L65" s="123" t="s">
        <v>160</v>
      </c>
      <c r="M65" s="119" t="s">
        <v>17</v>
      </c>
    </row>
    <row r="66" spans="1:22" x14ac:dyDescent="0.25">
      <c r="A66" s="245" t="s">
        <v>18</v>
      </c>
      <c r="B66" s="245"/>
      <c r="C66" s="124" t="s">
        <v>17</v>
      </c>
      <c r="D66" s="125" t="s">
        <v>223</v>
      </c>
      <c r="E66" s="125" t="s">
        <v>223</v>
      </c>
      <c r="F66" s="119" t="s">
        <v>17</v>
      </c>
      <c r="G66" s="124" t="s">
        <v>17</v>
      </c>
      <c r="H66" s="253" t="s">
        <v>220</v>
      </c>
      <c r="I66" s="254"/>
      <c r="J66" s="102" t="s">
        <v>98</v>
      </c>
      <c r="K66" s="251" t="s">
        <v>224</v>
      </c>
      <c r="L66" s="252"/>
      <c r="M66" s="119" t="s">
        <v>17</v>
      </c>
    </row>
    <row r="67" spans="1:22" x14ac:dyDescent="0.25">
      <c r="A67" s="247" t="s">
        <v>227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</row>
    <row r="68" spans="1:22" ht="19.5" customHeight="1" x14ac:dyDescent="0.25">
      <c r="A68" s="246" t="s">
        <v>27</v>
      </c>
      <c r="B68" s="246" t="s">
        <v>165</v>
      </c>
      <c r="C68" s="283" t="s">
        <v>29</v>
      </c>
      <c r="D68" s="241">
        <v>39.6</v>
      </c>
      <c r="E68" s="241">
        <v>31.8</v>
      </c>
      <c r="F68" s="241">
        <v>7.8</v>
      </c>
      <c r="G68" s="241"/>
      <c r="H68" s="241"/>
      <c r="I68" s="241"/>
      <c r="J68" s="241"/>
      <c r="K68" s="241"/>
      <c r="L68" s="241"/>
      <c r="M68" s="241"/>
    </row>
    <row r="69" spans="1:22" ht="25.5" customHeight="1" x14ac:dyDescent="0.25">
      <c r="A69" s="246"/>
      <c r="B69" s="246"/>
      <c r="C69" s="283"/>
      <c r="D69" s="241"/>
      <c r="E69" s="241"/>
      <c r="F69" s="241"/>
      <c r="G69" s="241"/>
      <c r="H69" s="241"/>
      <c r="I69" s="241"/>
      <c r="J69" s="241"/>
      <c r="K69" s="241"/>
      <c r="L69" s="241"/>
      <c r="M69" s="241"/>
    </row>
    <row r="70" spans="1:22" ht="90" x14ac:dyDescent="0.25">
      <c r="A70" s="8" t="s">
        <v>28</v>
      </c>
      <c r="B70" s="8" t="s">
        <v>166</v>
      </c>
      <c r="C70" s="30" t="s">
        <v>29</v>
      </c>
      <c r="D70" s="9">
        <v>78.5</v>
      </c>
      <c r="E70" s="9">
        <v>74.8</v>
      </c>
      <c r="F70" s="9">
        <v>3.7</v>
      </c>
      <c r="G70" s="9">
        <v>12.3</v>
      </c>
      <c r="H70" s="9">
        <v>12.6</v>
      </c>
      <c r="I70" s="9">
        <v>0.3</v>
      </c>
      <c r="J70" s="9" t="s">
        <v>167</v>
      </c>
      <c r="K70" s="9">
        <v>24.8</v>
      </c>
      <c r="L70" s="9">
        <v>25.5</v>
      </c>
      <c r="M70" s="9">
        <v>0.7</v>
      </c>
    </row>
    <row r="71" spans="1:22" ht="105" x14ac:dyDescent="0.25">
      <c r="A71" s="8" t="s">
        <v>128</v>
      </c>
      <c r="B71" s="8" t="s">
        <v>168</v>
      </c>
      <c r="C71" s="30" t="s">
        <v>29</v>
      </c>
      <c r="D71" s="9">
        <v>157.30000000000001</v>
      </c>
      <c r="E71" s="9">
        <v>150</v>
      </c>
      <c r="F71" s="9">
        <v>7.3</v>
      </c>
      <c r="G71" s="9">
        <v>16.7</v>
      </c>
      <c r="H71" s="9">
        <v>16.899999999999999</v>
      </c>
      <c r="I71" s="9">
        <v>0.2</v>
      </c>
      <c r="J71" s="9" t="s">
        <v>167</v>
      </c>
      <c r="K71" s="9">
        <v>33.799999999999997</v>
      </c>
      <c r="L71" s="9">
        <v>34.200000000000003</v>
      </c>
      <c r="M71" s="9">
        <v>0.4</v>
      </c>
    </row>
    <row r="72" spans="1:22" ht="45" x14ac:dyDescent="0.25">
      <c r="A72" s="8" t="s">
        <v>87</v>
      </c>
      <c r="B72" s="8" t="s">
        <v>169</v>
      </c>
      <c r="C72" s="30" t="s">
        <v>29</v>
      </c>
      <c r="D72" s="9">
        <v>38.6</v>
      </c>
      <c r="E72" s="9">
        <v>36.799999999999997</v>
      </c>
      <c r="F72" s="9">
        <v>1.8</v>
      </c>
      <c r="G72" s="9">
        <v>14.9</v>
      </c>
      <c r="H72" s="9">
        <v>15.3</v>
      </c>
      <c r="I72" s="9">
        <v>0.4</v>
      </c>
      <c r="J72" s="9" t="s">
        <v>167</v>
      </c>
      <c r="K72" s="9">
        <v>30.1</v>
      </c>
      <c r="L72" s="9">
        <v>30.9</v>
      </c>
      <c r="M72" s="9">
        <v>0.8</v>
      </c>
    </row>
    <row r="73" spans="1:22" ht="60" x14ac:dyDescent="0.25">
      <c r="A73" s="8" t="s">
        <v>170</v>
      </c>
      <c r="B73" s="8" t="s">
        <v>171</v>
      </c>
      <c r="C73" s="30" t="s">
        <v>29</v>
      </c>
      <c r="D73" s="9">
        <v>34.799999999999997</v>
      </c>
      <c r="E73" s="9">
        <v>33.200000000000003</v>
      </c>
      <c r="F73" s="9">
        <v>1.6</v>
      </c>
      <c r="G73" s="9">
        <v>2.1</v>
      </c>
      <c r="H73" s="9">
        <v>2.2000000000000002</v>
      </c>
      <c r="I73" s="9" t="s">
        <v>172</v>
      </c>
      <c r="J73" s="9" t="s">
        <v>167</v>
      </c>
      <c r="K73" s="9">
        <v>4.2</v>
      </c>
      <c r="L73" s="9">
        <v>4.4000000000000004</v>
      </c>
      <c r="M73" s="9">
        <v>0.2</v>
      </c>
    </row>
    <row r="74" spans="1:22" ht="75" x14ac:dyDescent="0.25">
      <c r="A74" s="8" t="s">
        <v>173</v>
      </c>
      <c r="B74" s="8" t="s">
        <v>174</v>
      </c>
      <c r="C74" s="30" t="s">
        <v>29</v>
      </c>
      <c r="D74" s="9">
        <v>45</v>
      </c>
      <c r="E74" s="9">
        <v>47.3</v>
      </c>
      <c r="F74" s="9">
        <v>2.2999999999999998</v>
      </c>
      <c r="G74" s="9">
        <v>25.92</v>
      </c>
      <c r="H74" s="9">
        <v>29.289000000000001</v>
      </c>
      <c r="I74" s="9">
        <v>3.3690000000000002</v>
      </c>
      <c r="J74" s="35" t="s">
        <v>98</v>
      </c>
      <c r="K74" s="9">
        <v>178.32900000000001</v>
      </c>
      <c r="L74" s="9">
        <v>201.512</v>
      </c>
      <c r="M74" s="9">
        <v>23182.799999999999</v>
      </c>
    </row>
    <row r="75" spans="1:22" x14ac:dyDescent="0.25">
      <c r="A75" s="284" t="s">
        <v>16</v>
      </c>
      <c r="B75" s="284"/>
      <c r="C75" s="34" t="s">
        <v>17</v>
      </c>
      <c r="D75" s="104">
        <f>SUM(D68:D74)</f>
        <v>393.8</v>
      </c>
      <c r="E75" s="40">
        <f>SUM(E68:E74)</f>
        <v>373.90000000000003</v>
      </c>
      <c r="F75" s="40" t="s">
        <v>17</v>
      </c>
      <c r="G75" s="40" t="s">
        <v>17</v>
      </c>
      <c r="H75" s="40" t="s">
        <v>17</v>
      </c>
      <c r="I75" s="40" t="s">
        <v>17</v>
      </c>
      <c r="J75" s="40" t="s">
        <v>17</v>
      </c>
      <c r="K75" s="32">
        <f>SUM(K68:K74)</f>
        <v>271.22899999999998</v>
      </c>
      <c r="L75" s="112">
        <f>SUM(L68:L74)</f>
        <v>296.512</v>
      </c>
      <c r="M75" s="40" t="s">
        <v>17</v>
      </c>
    </row>
    <row r="76" spans="1:22" x14ac:dyDescent="0.25">
      <c r="A76" s="223" t="s">
        <v>18</v>
      </c>
      <c r="B76" s="224"/>
      <c r="C76" s="215" t="s">
        <v>17</v>
      </c>
      <c r="D76" s="215">
        <v>393.8</v>
      </c>
      <c r="E76" s="215">
        <v>379.9</v>
      </c>
      <c r="F76" s="215" t="s">
        <v>17</v>
      </c>
      <c r="G76" s="215" t="s">
        <v>17</v>
      </c>
      <c r="H76" s="217">
        <f>H74</f>
        <v>29.289000000000001</v>
      </c>
      <c r="I76" s="218"/>
      <c r="J76" s="102" t="s">
        <v>98</v>
      </c>
      <c r="K76" s="219">
        <f>L74</f>
        <v>201.512</v>
      </c>
      <c r="L76" s="220"/>
      <c r="M76" s="215" t="s">
        <v>17</v>
      </c>
    </row>
    <row r="77" spans="1:22" x14ac:dyDescent="0.25">
      <c r="A77" s="225"/>
      <c r="B77" s="226"/>
      <c r="C77" s="216"/>
      <c r="D77" s="216"/>
      <c r="E77" s="216"/>
      <c r="F77" s="216"/>
      <c r="G77" s="216"/>
      <c r="H77" s="217">
        <f>H73+H72+H71+H70+H68</f>
        <v>47</v>
      </c>
      <c r="I77" s="218"/>
      <c r="J77" s="103" t="s">
        <v>167</v>
      </c>
      <c r="K77" s="219">
        <f>L73+L72+L71+L70+L68</f>
        <v>95</v>
      </c>
      <c r="L77" s="220"/>
      <c r="M77" s="216"/>
    </row>
    <row r="78" spans="1:22" x14ac:dyDescent="0.25">
      <c r="A78" s="255" t="s">
        <v>222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</row>
    <row r="79" spans="1:22" s="149" customFormat="1" x14ac:dyDescent="0.25">
      <c r="A79" s="223" t="s">
        <v>18</v>
      </c>
      <c r="B79" s="224"/>
      <c r="C79" s="215" t="s">
        <v>17</v>
      </c>
      <c r="D79" s="363">
        <f>D76+D66+D60+D50+D44+D33</f>
        <v>182238.25</v>
      </c>
      <c r="E79" s="363">
        <f>E76+E66+E60+E50+E44+E33</f>
        <v>211709.89999999997</v>
      </c>
      <c r="F79" s="215" t="s">
        <v>117</v>
      </c>
      <c r="G79" s="215" t="s">
        <v>117</v>
      </c>
      <c r="H79" s="258">
        <f>H77+H62+H33</f>
        <v>3459.87</v>
      </c>
      <c r="I79" s="218"/>
      <c r="J79" s="108" t="s">
        <v>25</v>
      </c>
      <c r="K79" s="301">
        <f>K77+K62+K33</f>
        <v>7032.5380000000005</v>
      </c>
      <c r="L79" s="302"/>
      <c r="M79" s="215" t="s">
        <v>17</v>
      </c>
      <c r="N79" s="148"/>
      <c r="O79" s="148"/>
      <c r="P79" s="148"/>
      <c r="Q79" s="148"/>
      <c r="R79" s="148"/>
      <c r="S79" s="148"/>
      <c r="T79" s="148"/>
      <c r="U79" s="148"/>
      <c r="V79" s="148"/>
    </row>
    <row r="80" spans="1:22" s="149" customFormat="1" x14ac:dyDescent="0.25">
      <c r="A80" s="364"/>
      <c r="B80" s="365"/>
      <c r="C80" s="298"/>
      <c r="D80" s="366"/>
      <c r="E80" s="366"/>
      <c r="F80" s="298"/>
      <c r="G80" s="298"/>
      <c r="H80" s="258">
        <f>H61+H51+H45+H34</f>
        <v>1302.6856299999999</v>
      </c>
      <c r="I80" s="259"/>
      <c r="J80" s="109" t="s">
        <v>107</v>
      </c>
      <c r="K80" s="260">
        <f>K61+K51+K45+K34</f>
        <v>27660.447</v>
      </c>
      <c r="L80" s="261"/>
      <c r="M80" s="298"/>
      <c r="N80" s="148"/>
      <c r="O80" s="148"/>
      <c r="P80" s="148"/>
      <c r="Q80" s="148"/>
      <c r="R80" s="148"/>
      <c r="S80" s="148"/>
      <c r="T80" s="148"/>
      <c r="U80" s="148"/>
      <c r="V80" s="148"/>
    </row>
    <row r="81" spans="1:22" s="149" customFormat="1" x14ac:dyDescent="0.25">
      <c r="A81" s="364"/>
      <c r="B81" s="365"/>
      <c r="C81" s="298"/>
      <c r="D81" s="366"/>
      <c r="E81" s="366"/>
      <c r="F81" s="298"/>
      <c r="G81" s="298"/>
      <c r="H81" s="258">
        <f>H76+H66+H60+H50+H44+H35</f>
        <v>500.61400000000003</v>
      </c>
      <c r="I81" s="259"/>
      <c r="J81" s="109" t="s">
        <v>108</v>
      </c>
      <c r="K81" s="373">
        <f>K76+K66+K60+K50+K44+K35</f>
        <v>2774.1450599999998</v>
      </c>
      <c r="L81" s="261"/>
      <c r="M81" s="298"/>
      <c r="N81" s="148"/>
      <c r="O81" s="148"/>
      <c r="P81" s="148"/>
      <c r="Q81" s="148"/>
      <c r="R81" s="148"/>
      <c r="S81" s="148"/>
      <c r="T81" s="148"/>
      <c r="U81" s="148"/>
      <c r="V81" s="148"/>
    </row>
    <row r="82" spans="1:22" s="149" customFormat="1" x14ac:dyDescent="0.25">
      <c r="A82" s="225"/>
      <c r="B82" s="226"/>
      <c r="C82" s="216"/>
      <c r="D82" s="367"/>
      <c r="E82" s="367"/>
      <c r="F82" s="216"/>
      <c r="G82" s="216"/>
      <c r="H82" s="258">
        <f>H36</f>
        <v>197.5</v>
      </c>
      <c r="I82" s="259"/>
      <c r="J82" s="102" t="s">
        <v>110</v>
      </c>
      <c r="K82" s="260">
        <f>K36</f>
        <v>891.23699999999997</v>
      </c>
      <c r="L82" s="261"/>
      <c r="M82" s="216"/>
      <c r="N82" s="148"/>
      <c r="O82" s="148"/>
      <c r="P82" s="148"/>
      <c r="Q82" s="148"/>
      <c r="R82" s="148"/>
      <c r="S82" s="148"/>
      <c r="T82" s="148"/>
      <c r="U82" s="148"/>
      <c r="V82" s="148"/>
    </row>
    <row r="83" spans="1:22" s="149" customFormat="1" x14ac:dyDescent="0.25">
      <c r="A83" s="368"/>
      <c r="B83" s="368"/>
      <c r="C83" s="368"/>
      <c r="D83" s="368"/>
      <c r="E83" s="368"/>
      <c r="F83" s="368"/>
      <c r="G83" s="368"/>
      <c r="H83" s="368"/>
      <c r="I83" s="369" t="s">
        <v>225</v>
      </c>
      <c r="J83" s="369"/>
      <c r="K83" s="370">
        <f>SUM(K79:K82)</f>
        <v>38358.367060000004</v>
      </c>
      <c r="L83" s="371"/>
      <c r="M83" s="368"/>
      <c r="N83" s="148"/>
      <c r="O83" s="148"/>
      <c r="P83" s="148"/>
      <c r="Q83" s="148"/>
      <c r="R83" s="148"/>
      <c r="S83" s="148"/>
      <c r="T83" s="148"/>
      <c r="U83" s="148"/>
      <c r="V83" s="148"/>
    </row>
    <row r="84" spans="1:22" x14ac:dyDescent="0.25">
      <c r="A84" s="227" t="s">
        <v>226</v>
      </c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"/>
      <c r="O84" s="2"/>
      <c r="P84" s="2"/>
      <c r="Q84" s="2"/>
      <c r="R84" s="2"/>
      <c r="S84" s="2"/>
      <c r="T84" s="2"/>
      <c r="U84" s="2"/>
      <c r="V84" s="2"/>
    </row>
    <row r="85" spans="1:22" ht="30" x14ac:dyDescent="0.25">
      <c r="A85" s="128" t="s">
        <v>27</v>
      </c>
      <c r="B85" s="5" t="s">
        <v>229</v>
      </c>
      <c r="C85" s="87" t="s">
        <v>29</v>
      </c>
      <c r="D85" s="4"/>
      <c r="E85" s="87">
        <v>44.348999999999997</v>
      </c>
      <c r="F85" s="87"/>
      <c r="G85" s="101"/>
      <c r="H85" s="101">
        <v>0.1</v>
      </c>
      <c r="I85" s="101"/>
      <c r="J85" s="101" t="s">
        <v>98</v>
      </c>
      <c r="K85" s="101"/>
      <c r="L85" s="101">
        <v>0.41199999999999998</v>
      </c>
      <c r="M85" s="5"/>
      <c r="N85" s="2"/>
      <c r="O85" s="2"/>
      <c r="P85" s="2"/>
      <c r="Q85" s="2"/>
      <c r="R85" s="2"/>
      <c r="S85" s="2"/>
      <c r="T85" s="2"/>
      <c r="U85" s="2"/>
      <c r="V85" s="2"/>
    </row>
    <row r="86" spans="1:22" ht="60" x14ac:dyDescent="0.25">
      <c r="A86" s="128" t="s">
        <v>28</v>
      </c>
      <c r="B86" s="5" t="s">
        <v>119</v>
      </c>
      <c r="C86" s="87" t="s">
        <v>29</v>
      </c>
      <c r="D86" s="4"/>
      <c r="E86" s="87">
        <v>33.170999999999999</v>
      </c>
      <c r="F86" s="81"/>
      <c r="G86" s="101"/>
      <c r="H86" s="101">
        <v>7</v>
      </c>
      <c r="I86" s="101"/>
      <c r="J86" s="101" t="s">
        <v>25</v>
      </c>
      <c r="K86" s="101"/>
      <c r="L86" s="101">
        <v>17.39</v>
      </c>
      <c r="M86" s="5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25">
      <c r="A87" s="221" t="s">
        <v>16</v>
      </c>
      <c r="B87" s="222"/>
      <c r="C87" s="81" t="s">
        <v>17</v>
      </c>
      <c r="D87" s="106">
        <f>SUM(D80:D86)</f>
        <v>0</v>
      </c>
      <c r="E87" s="80">
        <f>SUM(E80:E86)</f>
        <v>77.52</v>
      </c>
      <c r="F87" s="80" t="s">
        <v>17</v>
      </c>
      <c r="G87" s="80" t="s">
        <v>17</v>
      </c>
      <c r="H87" s="80" t="s">
        <v>17</v>
      </c>
      <c r="I87" s="80" t="s">
        <v>17</v>
      </c>
      <c r="J87" s="80" t="s">
        <v>17</v>
      </c>
      <c r="K87" s="79"/>
      <c r="L87" s="112">
        <f>SUM(L85:L86)</f>
        <v>17.802</v>
      </c>
      <c r="M87" s="80" t="s">
        <v>17</v>
      </c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A88" s="223" t="s">
        <v>18</v>
      </c>
      <c r="B88" s="224"/>
      <c r="C88" s="215" t="s">
        <v>17</v>
      </c>
      <c r="D88" s="215"/>
      <c r="E88" s="215">
        <v>77.52</v>
      </c>
      <c r="F88" s="215" t="s">
        <v>17</v>
      </c>
      <c r="G88" s="215" t="s">
        <v>17</v>
      </c>
      <c r="H88" s="217">
        <v>0.1</v>
      </c>
      <c r="I88" s="218"/>
      <c r="J88" s="102" t="s">
        <v>98</v>
      </c>
      <c r="K88" s="219">
        <v>0.41199999999999998</v>
      </c>
      <c r="L88" s="220"/>
      <c r="M88" s="215" t="s">
        <v>17</v>
      </c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A89" s="225"/>
      <c r="B89" s="226"/>
      <c r="C89" s="216"/>
      <c r="D89" s="216"/>
      <c r="E89" s="216"/>
      <c r="F89" s="216"/>
      <c r="G89" s="216"/>
      <c r="H89" s="217">
        <v>7</v>
      </c>
      <c r="I89" s="218"/>
      <c r="J89" s="103" t="s">
        <v>167</v>
      </c>
      <c r="K89" s="219">
        <v>17.38</v>
      </c>
      <c r="L89" s="220"/>
      <c r="M89" s="216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A90" s="204" t="s">
        <v>230</v>
      </c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"/>
      <c r="O90" s="2"/>
      <c r="P90" s="2"/>
      <c r="Q90" s="2"/>
      <c r="R90" s="2"/>
      <c r="S90" s="2"/>
      <c r="T90" s="2"/>
      <c r="U90" s="2"/>
      <c r="V90" s="2"/>
    </row>
    <row r="91" spans="1:22" ht="45" x14ac:dyDescent="0.25">
      <c r="A91" s="128" t="s">
        <v>27</v>
      </c>
      <c r="B91" s="5" t="s">
        <v>118</v>
      </c>
      <c r="C91" s="87" t="s">
        <v>29</v>
      </c>
      <c r="D91" s="87">
        <v>2.2999999999999998</v>
      </c>
      <c r="E91" s="87">
        <v>2.2999999999999998</v>
      </c>
      <c r="F91" s="87"/>
      <c r="G91" s="101"/>
      <c r="H91" s="101"/>
      <c r="I91" s="101"/>
      <c r="J91" s="101" t="s">
        <v>98</v>
      </c>
      <c r="K91" s="5"/>
      <c r="L91" s="5"/>
      <c r="M91" s="5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A92" s="221" t="s">
        <v>16</v>
      </c>
      <c r="B92" s="222"/>
      <c r="C92" s="81" t="s">
        <v>17</v>
      </c>
      <c r="D92" s="106">
        <f>SUM(D85:D91)</f>
        <v>2.2999999999999998</v>
      </c>
      <c r="E92" s="80">
        <v>2.2999999999999998</v>
      </c>
      <c r="F92" s="80" t="s">
        <v>17</v>
      </c>
      <c r="G92" s="80" t="s">
        <v>17</v>
      </c>
      <c r="H92" s="80" t="s">
        <v>17</v>
      </c>
      <c r="I92" s="80" t="s">
        <v>17</v>
      </c>
      <c r="J92" s="80" t="s">
        <v>17</v>
      </c>
      <c r="K92" s="79"/>
      <c r="L92" s="112">
        <f>SUM(L90:L91)</f>
        <v>0</v>
      </c>
      <c r="M92" s="80" t="s">
        <v>17</v>
      </c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A93" s="223" t="s">
        <v>18</v>
      </c>
      <c r="B93" s="224"/>
      <c r="C93" s="215" t="s">
        <v>17</v>
      </c>
      <c r="D93" s="215"/>
      <c r="E93" s="215">
        <v>2.2999999999999998</v>
      </c>
      <c r="F93" s="215" t="s">
        <v>17</v>
      </c>
      <c r="G93" s="215" t="s">
        <v>17</v>
      </c>
      <c r="H93" s="217"/>
      <c r="I93" s="218"/>
      <c r="J93" s="102" t="s">
        <v>98</v>
      </c>
      <c r="K93" s="219"/>
      <c r="L93" s="220"/>
      <c r="M93" s="215" t="s">
        <v>17</v>
      </c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225"/>
      <c r="B94" s="226"/>
      <c r="C94" s="216"/>
      <c r="D94" s="216"/>
      <c r="E94" s="216"/>
      <c r="F94" s="216"/>
      <c r="G94" s="216"/>
      <c r="H94" s="217"/>
      <c r="I94" s="218"/>
      <c r="J94" s="103" t="s">
        <v>167</v>
      </c>
      <c r="K94" s="219"/>
      <c r="L94" s="220"/>
      <c r="M94" s="216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265" t="s">
        <v>231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"/>
      <c r="O95" s="2"/>
      <c r="P95" s="2"/>
      <c r="Q95" s="2"/>
      <c r="R95" s="2"/>
      <c r="S95" s="2"/>
      <c r="T95" s="2"/>
      <c r="U95" s="2"/>
      <c r="V95" s="2"/>
    </row>
    <row r="96" spans="1:22" ht="60" x14ac:dyDescent="0.25">
      <c r="A96" s="89">
        <v>1</v>
      </c>
      <c r="B96" s="126" t="s">
        <v>119</v>
      </c>
      <c r="C96" s="87" t="s">
        <v>29</v>
      </c>
      <c r="D96" s="87">
        <v>44.1</v>
      </c>
      <c r="E96" s="87">
        <v>44.1</v>
      </c>
      <c r="F96" s="87"/>
      <c r="G96" s="101"/>
      <c r="H96" s="101"/>
      <c r="I96" s="101"/>
      <c r="J96" s="101"/>
      <c r="K96" s="101"/>
      <c r="L96" s="101"/>
      <c r="M96" s="4"/>
      <c r="N96" s="2"/>
      <c r="O96" s="2"/>
      <c r="P96" s="2"/>
      <c r="Q96" s="2"/>
      <c r="R96" s="2"/>
      <c r="S96" s="2"/>
      <c r="T96" s="2"/>
      <c r="U96" s="2"/>
      <c r="V96" s="2"/>
    </row>
    <row r="97" spans="1:22" ht="90" x14ac:dyDescent="0.25">
      <c r="A97" s="89">
        <v>2</v>
      </c>
      <c r="B97" s="127" t="s">
        <v>120</v>
      </c>
      <c r="C97" s="87" t="s">
        <v>29</v>
      </c>
      <c r="D97" s="94">
        <v>15</v>
      </c>
      <c r="E97" s="94">
        <v>13.4</v>
      </c>
      <c r="F97" s="87"/>
      <c r="G97" s="101"/>
      <c r="H97" s="101"/>
      <c r="I97" s="101"/>
      <c r="J97" s="101"/>
      <c r="K97" s="101"/>
      <c r="L97" s="101"/>
      <c r="M97" s="4"/>
      <c r="N97" s="2"/>
      <c r="O97" s="2"/>
      <c r="P97" s="2"/>
      <c r="Q97" s="2"/>
      <c r="R97" s="2"/>
      <c r="S97" s="2"/>
      <c r="T97" s="2"/>
      <c r="U97" s="2"/>
      <c r="V97" s="2"/>
    </row>
    <row r="98" spans="1:22" ht="75" x14ac:dyDescent="0.25">
      <c r="A98" s="89">
        <v>3</v>
      </c>
      <c r="B98" s="45" t="s">
        <v>121</v>
      </c>
      <c r="C98" s="87" t="s">
        <v>29</v>
      </c>
      <c r="D98" s="94">
        <v>40</v>
      </c>
      <c r="E98" s="87">
        <v>13.8</v>
      </c>
      <c r="F98" s="87"/>
      <c r="G98" s="101">
        <v>1.56</v>
      </c>
      <c r="H98" s="101">
        <v>1.4259999999999999</v>
      </c>
      <c r="I98" s="101">
        <v>0.13400000000000001</v>
      </c>
      <c r="J98" s="101" t="s">
        <v>98</v>
      </c>
      <c r="K98" s="101"/>
      <c r="L98" s="101">
        <v>5.7069999999999999</v>
      </c>
      <c r="M98" s="4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64" t="s">
        <v>16</v>
      </c>
      <c r="B99" s="264"/>
      <c r="C99" s="88" t="s">
        <v>17</v>
      </c>
      <c r="D99" s="129">
        <f>SUM(D96:D98)</f>
        <v>99.1</v>
      </c>
      <c r="E99" s="129">
        <f>SUM(E96:E98)</f>
        <v>71.3</v>
      </c>
      <c r="F99" s="80" t="s">
        <v>17</v>
      </c>
      <c r="G99" s="80" t="s">
        <v>17</v>
      </c>
      <c r="H99" s="80" t="s">
        <v>17</v>
      </c>
      <c r="I99" s="80" t="s">
        <v>17</v>
      </c>
      <c r="J99" s="84" t="s">
        <v>17</v>
      </c>
      <c r="K99" s="80" t="s">
        <v>17</v>
      </c>
      <c r="L99" s="103">
        <v>5.7069999999999999</v>
      </c>
      <c r="M99" s="80" t="s">
        <v>17</v>
      </c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64" t="s">
        <v>18</v>
      </c>
      <c r="B100" s="264"/>
      <c r="C100" s="105" t="s">
        <v>17</v>
      </c>
      <c r="D100" s="147">
        <v>99.1</v>
      </c>
      <c r="E100" s="147">
        <v>71.3</v>
      </c>
      <c r="F100" s="105" t="s">
        <v>17</v>
      </c>
      <c r="G100" s="105" t="s">
        <v>17</v>
      </c>
      <c r="H100" s="207">
        <v>1.4259999999999999</v>
      </c>
      <c r="I100" s="208"/>
      <c r="J100" s="103" t="s">
        <v>98</v>
      </c>
      <c r="K100" s="266">
        <v>5.7069999999999999</v>
      </c>
      <c r="L100" s="267"/>
      <c r="M100" s="105" t="s">
        <v>17</v>
      </c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27" t="s">
        <v>232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128" t="s">
        <v>27</v>
      </c>
      <c r="B102" s="5" t="s">
        <v>233</v>
      </c>
      <c r="C102" s="87" t="s">
        <v>29</v>
      </c>
      <c r="D102" s="4"/>
      <c r="E102" s="4">
        <v>12.09</v>
      </c>
      <c r="F102" s="4"/>
      <c r="G102" s="5">
        <v>50951</v>
      </c>
      <c r="H102" s="5">
        <v>36149</v>
      </c>
      <c r="I102" s="5">
        <v>14802</v>
      </c>
      <c r="J102" s="101" t="s">
        <v>114</v>
      </c>
      <c r="K102" s="5">
        <v>255.58</v>
      </c>
      <c r="L102" s="5">
        <v>219.9</v>
      </c>
      <c r="M102" s="5">
        <v>35.68</v>
      </c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60" x14ac:dyDescent="0.25">
      <c r="A103" s="128" t="s">
        <v>28</v>
      </c>
      <c r="B103" s="5" t="s">
        <v>119</v>
      </c>
      <c r="C103" s="87" t="s">
        <v>29</v>
      </c>
      <c r="D103" s="3"/>
      <c r="E103" s="3">
        <v>15</v>
      </c>
      <c r="F103" s="3"/>
      <c r="G103" s="100">
        <v>314.86</v>
      </c>
      <c r="H103" s="100">
        <v>168.73</v>
      </c>
      <c r="I103" s="100">
        <v>146.13</v>
      </c>
      <c r="J103" s="101" t="s">
        <v>25</v>
      </c>
      <c r="K103" s="100">
        <v>756.8</v>
      </c>
      <c r="L103" s="100">
        <v>409.74</v>
      </c>
      <c r="M103" s="100">
        <v>347.06</v>
      </c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77.25" customHeight="1" x14ac:dyDescent="0.25">
      <c r="A104" s="131" t="s">
        <v>128</v>
      </c>
      <c r="B104" s="5" t="s">
        <v>116</v>
      </c>
      <c r="C104" s="87" t="s">
        <v>29</v>
      </c>
      <c r="D104" s="150"/>
      <c r="E104" s="88">
        <v>36.07</v>
      </c>
      <c r="F104" s="88"/>
      <c r="G104" s="84">
        <v>1526</v>
      </c>
      <c r="H104" s="101">
        <v>962</v>
      </c>
      <c r="I104" s="84">
        <v>564</v>
      </c>
      <c r="J104" s="84" t="s">
        <v>86</v>
      </c>
      <c r="K104" s="84">
        <v>69.989999999999995</v>
      </c>
      <c r="L104" s="84">
        <v>44.58</v>
      </c>
      <c r="M104" s="84">
        <v>25.41</v>
      </c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48" t="s">
        <v>16</v>
      </c>
      <c r="B105" s="206"/>
      <c r="C105" s="88" t="s">
        <v>17</v>
      </c>
      <c r="D105" s="129"/>
      <c r="E105" s="88">
        <f>SUM(E102:E104)</f>
        <v>63.16</v>
      </c>
      <c r="F105" s="88"/>
      <c r="G105" s="84"/>
      <c r="H105" s="101"/>
      <c r="I105" s="84"/>
      <c r="J105" s="84" t="s">
        <v>17</v>
      </c>
      <c r="K105" s="113">
        <f>SUM(K102:K104)</f>
        <v>1082.3699999999999</v>
      </c>
      <c r="L105" s="113">
        <f>SUM(L102:L104)</f>
        <v>674.22</v>
      </c>
      <c r="M105" s="84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28" t="s">
        <v>18</v>
      </c>
      <c r="B106" s="228"/>
      <c r="C106" s="199" t="s">
        <v>17</v>
      </c>
      <c r="D106" s="199"/>
      <c r="E106" s="199">
        <v>63.16</v>
      </c>
      <c r="F106" s="199"/>
      <c r="G106" s="199" t="s">
        <v>17</v>
      </c>
      <c r="H106" s="207">
        <v>36.149000000000001</v>
      </c>
      <c r="I106" s="208"/>
      <c r="J106" s="102" t="s">
        <v>98</v>
      </c>
      <c r="K106" s="209">
        <v>219.9</v>
      </c>
      <c r="L106" s="210"/>
      <c r="M106" s="201" t="s">
        <v>117</v>
      </c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28"/>
      <c r="B107" s="228"/>
      <c r="C107" s="230"/>
      <c r="D107" s="230"/>
      <c r="E107" s="230"/>
      <c r="F107" s="230"/>
      <c r="G107" s="230"/>
      <c r="H107" s="209">
        <v>168.73</v>
      </c>
      <c r="I107" s="210"/>
      <c r="J107" s="103" t="s">
        <v>167</v>
      </c>
      <c r="K107" s="209">
        <v>756.8</v>
      </c>
      <c r="L107" s="210"/>
      <c r="M107" s="229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28"/>
      <c r="B108" s="228"/>
      <c r="C108" s="200"/>
      <c r="D108" s="200"/>
      <c r="E108" s="200"/>
      <c r="F108" s="200"/>
      <c r="G108" s="200"/>
      <c r="H108" s="207">
        <v>0.96199999999999997</v>
      </c>
      <c r="I108" s="208"/>
      <c r="J108" s="102" t="s">
        <v>107</v>
      </c>
      <c r="K108" s="209">
        <v>69.989999999999995</v>
      </c>
      <c r="L108" s="210"/>
      <c r="M108" s="20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03" t="s">
        <v>125</v>
      </c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4">
        <v>1</v>
      </c>
      <c r="B110" s="5" t="s">
        <v>233</v>
      </c>
      <c r="C110" s="87" t="s">
        <v>29</v>
      </c>
      <c r="D110" s="87">
        <v>21.9</v>
      </c>
      <c r="E110" s="87">
        <v>21.73</v>
      </c>
      <c r="F110" s="87"/>
      <c r="G110" s="87">
        <v>4.05</v>
      </c>
      <c r="H110" s="87">
        <v>2.762</v>
      </c>
      <c r="I110" s="87">
        <v>1.288</v>
      </c>
      <c r="J110" s="87" t="s">
        <v>123</v>
      </c>
      <c r="K110" s="87">
        <v>9.73</v>
      </c>
      <c r="L110" s="87">
        <v>11.02</v>
      </c>
      <c r="M110" s="87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60" x14ac:dyDescent="0.25">
      <c r="A111" s="4">
        <v>2</v>
      </c>
      <c r="B111" s="5" t="s">
        <v>119</v>
      </c>
      <c r="C111" s="87" t="s">
        <v>29</v>
      </c>
      <c r="D111" s="87">
        <v>24.4</v>
      </c>
      <c r="E111" s="87">
        <v>32.61</v>
      </c>
      <c r="F111" s="87"/>
      <c r="G111" s="87">
        <v>16.2</v>
      </c>
      <c r="H111" s="87">
        <v>13.5</v>
      </c>
      <c r="I111" s="87">
        <v>2.7</v>
      </c>
      <c r="J111" s="87" t="s">
        <v>124</v>
      </c>
      <c r="K111" s="87">
        <v>6.55</v>
      </c>
      <c r="L111" s="87">
        <v>6.55</v>
      </c>
      <c r="M111" s="87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21" t="s">
        <v>16</v>
      </c>
      <c r="B112" s="222"/>
      <c r="C112" s="81" t="s">
        <v>17</v>
      </c>
      <c r="D112" s="106">
        <f>SUM(D110:D111)</f>
        <v>46.3</v>
      </c>
      <c r="E112" s="80">
        <f>SUM(E110:E111)</f>
        <v>54.34</v>
      </c>
      <c r="F112" s="80" t="s">
        <v>17</v>
      </c>
      <c r="G112" s="80" t="s">
        <v>17</v>
      </c>
      <c r="H112" s="80" t="s">
        <v>17</v>
      </c>
      <c r="I112" s="80" t="s">
        <v>17</v>
      </c>
      <c r="J112" s="80" t="s">
        <v>17</v>
      </c>
      <c r="K112" s="79"/>
      <c r="L112" s="112">
        <f>SUM(L110:L111)</f>
        <v>17.57</v>
      </c>
      <c r="M112" s="80" t="s">
        <v>17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223" t="s">
        <v>18</v>
      </c>
      <c r="B113" s="224"/>
      <c r="C113" s="215" t="s">
        <v>17</v>
      </c>
      <c r="D113" s="215">
        <v>46.3</v>
      </c>
      <c r="E113" s="215">
        <v>54.34</v>
      </c>
      <c r="F113" s="215" t="s">
        <v>17</v>
      </c>
      <c r="G113" s="215" t="s">
        <v>17</v>
      </c>
      <c r="H113" s="217">
        <v>2.762</v>
      </c>
      <c r="I113" s="218"/>
      <c r="J113" s="102" t="s">
        <v>98</v>
      </c>
      <c r="K113" s="219">
        <v>11.02</v>
      </c>
      <c r="L113" s="220"/>
      <c r="M113" s="215" t="s">
        <v>17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225"/>
      <c r="B114" s="226"/>
      <c r="C114" s="216"/>
      <c r="D114" s="216"/>
      <c r="E114" s="216"/>
      <c r="F114" s="216"/>
      <c r="G114" s="216"/>
      <c r="H114" s="217">
        <v>13.5</v>
      </c>
      <c r="I114" s="218"/>
      <c r="J114" s="103" t="s">
        <v>167</v>
      </c>
      <c r="K114" s="219">
        <v>6.55</v>
      </c>
      <c r="L114" s="220"/>
      <c r="M114" s="216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203" t="s">
        <v>126</v>
      </c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30" x14ac:dyDescent="0.25">
      <c r="A116" s="128" t="s">
        <v>27</v>
      </c>
      <c r="B116" s="5" t="s">
        <v>113</v>
      </c>
      <c r="C116" s="87" t="s">
        <v>29</v>
      </c>
      <c r="D116" s="87">
        <v>887.05</v>
      </c>
      <c r="E116" s="87">
        <v>887.05</v>
      </c>
      <c r="F116" s="87"/>
      <c r="G116" s="101">
        <v>4000</v>
      </c>
      <c r="H116" s="101">
        <v>7450</v>
      </c>
      <c r="I116" s="101">
        <f>G116-H116</f>
        <v>-3450</v>
      </c>
      <c r="J116" s="101" t="s">
        <v>114</v>
      </c>
      <c r="K116" s="46">
        <f>6.474*G116/1000</f>
        <v>25.896000000000001</v>
      </c>
      <c r="L116" s="46">
        <f>6.474*H116/1000</f>
        <v>48.231300000000005</v>
      </c>
      <c r="M116" s="46">
        <f>6.178*I116/1000</f>
        <v>-21.3141</v>
      </c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205" t="s">
        <v>16</v>
      </c>
      <c r="B117" s="206"/>
      <c r="C117" s="88" t="s">
        <v>17</v>
      </c>
      <c r="D117" s="88">
        <f>SUM(D114:D116)</f>
        <v>887.05</v>
      </c>
      <c r="E117" s="88">
        <f>SUM(E114:E116)</f>
        <v>887.05</v>
      </c>
      <c r="F117" s="80" t="s">
        <v>17</v>
      </c>
      <c r="G117" s="80" t="s">
        <v>17</v>
      </c>
      <c r="H117" s="80" t="s">
        <v>17</v>
      </c>
      <c r="I117" s="80" t="s">
        <v>17</v>
      </c>
      <c r="J117" s="84" t="s">
        <v>17</v>
      </c>
      <c r="K117" s="80" t="s">
        <v>17</v>
      </c>
      <c r="L117" s="103">
        <v>48.23</v>
      </c>
      <c r="M117" s="80" t="s">
        <v>17</v>
      </c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205" t="s">
        <v>18</v>
      </c>
      <c r="B118" s="206"/>
      <c r="C118" s="105" t="s">
        <v>17</v>
      </c>
      <c r="D118" s="105">
        <v>887.05</v>
      </c>
      <c r="E118" s="105">
        <v>887.05</v>
      </c>
      <c r="F118" s="105" t="s">
        <v>17</v>
      </c>
      <c r="G118" s="105" t="s">
        <v>17</v>
      </c>
      <c r="H118" s="207">
        <v>7.45</v>
      </c>
      <c r="I118" s="208"/>
      <c r="J118" s="103" t="s">
        <v>98</v>
      </c>
      <c r="K118" s="209">
        <v>48.23</v>
      </c>
      <c r="L118" s="210"/>
      <c r="M118" s="105" t="s">
        <v>17</v>
      </c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204" t="s">
        <v>127</v>
      </c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30" x14ac:dyDescent="0.25">
      <c r="A120" s="128" t="s">
        <v>27</v>
      </c>
      <c r="B120" s="5" t="s">
        <v>113</v>
      </c>
      <c r="C120" s="87" t="s">
        <v>29</v>
      </c>
      <c r="D120" s="87"/>
      <c r="E120" s="87">
        <v>499.95600000000002</v>
      </c>
      <c r="F120" s="87"/>
      <c r="G120" s="101">
        <v>66332</v>
      </c>
      <c r="H120" s="101">
        <v>57732</v>
      </c>
      <c r="I120" s="101">
        <f>G120-H120</f>
        <v>8600</v>
      </c>
      <c r="J120" s="101" t="s">
        <v>114</v>
      </c>
      <c r="K120" s="101">
        <v>339.62400000000002</v>
      </c>
      <c r="L120" s="101">
        <v>348.43099999999998</v>
      </c>
      <c r="M120" s="101">
        <f>I120*6.16/1000</f>
        <v>52.975999999999999</v>
      </c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05" t="s">
        <v>16</v>
      </c>
      <c r="B121" s="206"/>
      <c r="C121" s="88" t="s">
        <v>17</v>
      </c>
      <c r="D121" s="88"/>
      <c r="E121" s="88">
        <v>499.95600000000002</v>
      </c>
      <c r="F121" s="80" t="s">
        <v>17</v>
      </c>
      <c r="G121" s="80" t="s">
        <v>17</v>
      </c>
      <c r="H121" s="80" t="s">
        <v>17</v>
      </c>
      <c r="I121" s="80" t="s">
        <v>17</v>
      </c>
      <c r="J121" s="84" t="s">
        <v>17</v>
      </c>
      <c r="K121" s="80" t="s">
        <v>17</v>
      </c>
      <c r="L121" s="103">
        <v>348.43099999999998</v>
      </c>
      <c r="M121" s="80" t="s">
        <v>17</v>
      </c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05" t="s">
        <v>18</v>
      </c>
      <c r="B122" s="206"/>
      <c r="C122" s="105" t="s">
        <v>17</v>
      </c>
      <c r="D122" s="105"/>
      <c r="E122" s="105">
        <v>499.95600000000002</v>
      </c>
      <c r="F122" s="105" t="s">
        <v>17</v>
      </c>
      <c r="G122" s="105" t="s">
        <v>17</v>
      </c>
      <c r="H122" s="207">
        <v>57.731999999999999</v>
      </c>
      <c r="I122" s="208"/>
      <c r="J122" s="103" t="s">
        <v>98</v>
      </c>
      <c r="K122" s="209">
        <v>348.43099999999998</v>
      </c>
      <c r="L122" s="210"/>
      <c r="M122" s="105" t="s">
        <v>17</v>
      </c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04" t="s">
        <v>130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30" x14ac:dyDescent="0.25">
      <c r="A124" s="128" t="s">
        <v>27</v>
      </c>
      <c r="B124" s="5" t="s">
        <v>113</v>
      </c>
      <c r="C124" s="87" t="s">
        <v>29</v>
      </c>
      <c r="D124" s="87">
        <v>522.20000000000005</v>
      </c>
      <c r="E124" s="87">
        <v>522.20000000000005</v>
      </c>
      <c r="F124" s="87">
        <f>D124-E124</f>
        <v>0</v>
      </c>
      <c r="G124" s="46"/>
      <c r="H124" s="46">
        <v>13034</v>
      </c>
      <c r="I124" s="46"/>
      <c r="J124" s="101" t="s">
        <v>114</v>
      </c>
      <c r="K124" s="101"/>
      <c r="L124" s="46">
        <v>54.74</v>
      </c>
      <c r="M124" s="46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45" x14ac:dyDescent="0.25">
      <c r="A125" s="131" t="s">
        <v>28</v>
      </c>
      <c r="B125" s="5" t="s">
        <v>129</v>
      </c>
      <c r="C125" s="88" t="s">
        <v>29</v>
      </c>
      <c r="D125" s="88">
        <v>0</v>
      </c>
      <c r="E125" s="88">
        <v>0</v>
      </c>
      <c r="F125" s="88">
        <v>0</v>
      </c>
      <c r="G125" s="152"/>
      <c r="H125" s="152">
        <v>105</v>
      </c>
      <c r="I125" s="46"/>
      <c r="J125" s="84" t="s">
        <v>86</v>
      </c>
      <c r="K125" s="84"/>
      <c r="L125" s="152">
        <v>4.68</v>
      </c>
      <c r="M125" s="46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48" t="s">
        <v>16</v>
      </c>
      <c r="B126" s="206"/>
      <c r="C126" s="88" t="s">
        <v>17</v>
      </c>
      <c r="D126" s="88">
        <f>SUM(D124:D125)</f>
        <v>522.20000000000005</v>
      </c>
      <c r="E126" s="88">
        <f>SUM(E124:E125)</f>
        <v>522.20000000000005</v>
      </c>
      <c r="F126" s="88">
        <v>0</v>
      </c>
      <c r="G126" s="84"/>
      <c r="H126" s="84"/>
      <c r="I126" s="84"/>
      <c r="J126" s="84" t="s">
        <v>17</v>
      </c>
      <c r="K126" s="101"/>
      <c r="L126" s="49">
        <f>SUM(L124:L125)</f>
        <v>59.42</v>
      </c>
      <c r="M126" s="46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11" t="s">
        <v>18</v>
      </c>
      <c r="B127" s="212"/>
      <c r="C127" s="199" t="s">
        <v>17</v>
      </c>
      <c r="D127" s="199">
        <v>522.20000000000005</v>
      </c>
      <c r="E127" s="199">
        <v>522.20000000000005</v>
      </c>
      <c r="F127" s="199" t="s">
        <v>17</v>
      </c>
      <c r="G127" s="199" t="s">
        <v>17</v>
      </c>
      <c r="H127" s="207">
        <v>13.034000000000001</v>
      </c>
      <c r="I127" s="208"/>
      <c r="J127" s="102" t="s">
        <v>98</v>
      </c>
      <c r="K127" s="209">
        <v>54.74</v>
      </c>
      <c r="L127" s="210"/>
      <c r="M127" s="201" t="s">
        <v>117</v>
      </c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13"/>
      <c r="B128" s="214"/>
      <c r="C128" s="200"/>
      <c r="D128" s="200"/>
      <c r="E128" s="200"/>
      <c r="F128" s="200"/>
      <c r="G128" s="200"/>
      <c r="H128" s="207">
        <v>0.105</v>
      </c>
      <c r="I128" s="208"/>
      <c r="J128" s="102" t="s">
        <v>107</v>
      </c>
      <c r="K128" s="209">
        <v>4.68</v>
      </c>
      <c r="L128" s="210"/>
      <c r="M128" s="20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s="151" customFormat="1" x14ac:dyDescent="0.25">
      <c r="A129" s="203" t="s">
        <v>132</v>
      </c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</row>
    <row r="130" spans="1:22" ht="30" x14ac:dyDescent="0.25">
      <c r="A130" s="128">
        <v>1</v>
      </c>
      <c r="B130" s="100" t="s">
        <v>235</v>
      </c>
      <c r="C130" s="87" t="s">
        <v>29</v>
      </c>
      <c r="D130" s="87">
        <v>146.14400000000001</v>
      </c>
      <c r="E130" s="87">
        <v>146.14400000000001</v>
      </c>
      <c r="F130" s="87"/>
      <c r="G130" s="84">
        <v>0</v>
      </c>
      <c r="H130" s="101">
        <v>1.01</v>
      </c>
      <c r="I130" s="84"/>
      <c r="J130" s="84" t="s">
        <v>25</v>
      </c>
      <c r="K130" s="84">
        <v>0</v>
      </c>
      <c r="L130" s="84">
        <v>2.5</v>
      </c>
      <c r="M130" s="84">
        <v>2.5</v>
      </c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75" x14ac:dyDescent="0.25">
      <c r="A131" s="131">
        <v>2</v>
      </c>
      <c r="B131" s="153" t="s">
        <v>234</v>
      </c>
      <c r="C131" s="87" t="s">
        <v>29</v>
      </c>
      <c r="D131" s="88">
        <v>472.28199999999998</v>
      </c>
      <c r="E131" s="88">
        <v>472.28199999999998</v>
      </c>
      <c r="F131" s="88"/>
      <c r="G131" s="84"/>
      <c r="H131" s="101"/>
      <c r="I131" s="84"/>
      <c r="J131" s="84" t="s">
        <v>25</v>
      </c>
      <c r="K131" s="84"/>
      <c r="L131" s="84"/>
      <c r="M131" s="84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60" x14ac:dyDescent="0.25">
      <c r="A132" s="132">
        <v>3</v>
      </c>
      <c r="B132" s="154" t="s">
        <v>131</v>
      </c>
      <c r="C132" s="87" t="s">
        <v>29</v>
      </c>
      <c r="D132" s="88">
        <v>49.573999999999998</v>
      </c>
      <c r="E132" s="88">
        <v>49.573999999999998</v>
      </c>
      <c r="F132" s="88"/>
      <c r="G132" s="84"/>
      <c r="H132" s="101"/>
      <c r="I132" s="84"/>
      <c r="J132" s="84"/>
      <c r="K132" s="84"/>
      <c r="L132" s="84"/>
      <c r="M132" s="84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48" t="s">
        <v>16</v>
      </c>
      <c r="B133" s="206"/>
      <c r="C133" s="88" t="s">
        <v>17</v>
      </c>
      <c r="D133" s="133">
        <v>668</v>
      </c>
      <c r="E133" s="133">
        <v>668</v>
      </c>
      <c r="F133" s="129"/>
      <c r="G133" s="130"/>
      <c r="H133" s="5"/>
      <c r="I133" s="130"/>
      <c r="J133" s="84" t="s">
        <v>17</v>
      </c>
      <c r="K133" s="130"/>
      <c r="L133" s="130"/>
      <c r="M133" s="130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191" t="s">
        <v>18</v>
      </c>
      <c r="B134" s="191"/>
      <c r="C134" s="87" t="s">
        <v>17</v>
      </c>
      <c r="D134" s="134">
        <v>668</v>
      </c>
      <c r="E134" s="134">
        <v>668</v>
      </c>
      <c r="F134" s="4"/>
      <c r="G134" s="87" t="s">
        <v>17</v>
      </c>
      <c r="H134" s="87" t="s">
        <v>17</v>
      </c>
      <c r="I134" s="87" t="s">
        <v>17</v>
      </c>
      <c r="J134" s="87" t="s">
        <v>17</v>
      </c>
      <c r="K134" s="5"/>
      <c r="L134" s="5"/>
      <c r="M134" s="5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2"/>
      <c r="B135" s="2"/>
      <c r="C135" s="135" t="s">
        <v>142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30" x14ac:dyDescent="0.25">
      <c r="A136" s="136" t="s">
        <v>27</v>
      </c>
      <c r="B136" s="5" t="s">
        <v>133</v>
      </c>
      <c r="C136" s="87" t="s">
        <v>122</v>
      </c>
      <c r="D136" s="137" t="s">
        <v>134</v>
      </c>
      <c r="E136" s="89">
        <v>0</v>
      </c>
      <c r="F136" s="137">
        <v>50</v>
      </c>
      <c r="G136" s="85">
        <v>0</v>
      </c>
      <c r="H136" s="85">
        <v>0</v>
      </c>
      <c r="I136" s="85"/>
      <c r="J136" s="101"/>
      <c r="K136" s="85">
        <v>0</v>
      </c>
      <c r="L136" s="85">
        <v>0</v>
      </c>
      <c r="M136" s="85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30" x14ac:dyDescent="0.25">
      <c r="A137" s="138"/>
      <c r="B137" s="5" t="s">
        <v>135</v>
      </c>
      <c r="C137" s="87" t="s">
        <v>29</v>
      </c>
      <c r="D137" s="137" t="s">
        <v>136</v>
      </c>
      <c r="E137" s="137">
        <v>1.125</v>
      </c>
      <c r="F137" s="137">
        <v>3.875</v>
      </c>
      <c r="G137" s="139">
        <v>16.7</v>
      </c>
      <c r="H137" s="139">
        <v>12.195</v>
      </c>
      <c r="I137" s="139">
        <v>4.5049999999999999</v>
      </c>
      <c r="J137" s="101" t="s">
        <v>137</v>
      </c>
      <c r="K137" s="139">
        <v>30</v>
      </c>
      <c r="L137" s="139">
        <v>36.700000000000003</v>
      </c>
      <c r="M137" s="85">
        <v>6.7</v>
      </c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60" x14ac:dyDescent="0.25">
      <c r="A138" s="131">
        <v>2.2000000000000002</v>
      </c>
      <c r="B138" s="5" t="s">
        <v>138</v>
      </c>
      <c r="C138" s="88" t="s">
        <v>122</v>
      </c>
      <c r="D138" s="140">
        <v>15</v>
      </c>
      <c r="E138" s="140">
        <v>15</v>
      </c>
      <c r="F138" s="140">
        <v>0</v>
      </c>
      <c r="G138" s="141">
        <v>136</v>
      </c>
      <c r="H138" s="141">
        <v>107.4</v>
      </c>
      <c r="I138" s="142">
        <v>28.6</v>
      </c>
      <c r="J138" s="84" t="s">
        <v>25</v>
      </c>
      <c r="K138" s="141">
        <v>20</v>
      </c>
      <c r="L138" s="141">
        <v>24.6</v>
      </c>
      <c r="M138" s="143">
        <v>4.5999999999999996</v>
      </c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48" t="s">
        <v>16</v>
      </c>
      <c r="B139" s="206"/>
      <c r="C139" s="88" t="s">
        <v>17</v>
      </c>
      <c r="D139" s="140" t="s">
        <v>139</v>
      </c>
      <c r="E139" s="140">
        <v>16.125</v>
      </c>
      <c r="F139" s="140" t="s">
        <v>140</v>
      </c>
      <c r="G139" s="143"/>
      <c r="H139" s="143"/>
      <c r="I139" s="141"/>
      <c r="J139" s="84" t="s">
        <v>17</v>
      </c>
      <c r="K139" s="141" t="s">
        <v>134</v>
      </c>
      <c r="L139" s="141" t="s">
        <v>141</v>
      </c>
      <c r="M139" s="144">
        <v>11.3</v>
      </c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191" t="s">
        <v>143</v>
      </c>
      <c r="C141" s="191"/>
      <c r="D141" s="191"/>
      <c r="E141" s="191"/>
      <c r="F141" s="191"/>
      <c r="G141" s="191"/>
      <c r="H141" s="19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60" x14ac:dyDescent="0.25">
      <c r="A142" s="2">
        <v>1</v>
      </c>
      <c r="B142" s="6" t="s">
        <v>144</v>
      </c>
      <c r="C142" s="164" t="s">
        <v>29</v>
      </c>
      <c r="D142" s="164">
        <v>2.2000000000000002</v>
      </c>
      <c r="E142" s="164">
        <v>2.2000000000000002</v>
      </c>
      <c r="F142" s="164"/>
      <c r="G142" s="164"/>
      <c r="H142" s="164"/>
      <c r="I142" s="164"/>
      <c r="J142" s="164"/>
      <c r="K142" s="164"/>
      <c r="L142" s="164"/>
      <c r="M142" s="164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248" t="s">
        <v>16</v>
      </c>
      <c r="B143" s="206"/>
      <c r="C143" s="164" t="s">
        <v>17</v>
      </c>
      <c r="D143" s="160">
        <v>2.2000000000000002</v>
      </c>
      <c r="E143" s="160">
        <v>2.2000000000000002</v>
      </c>
      <c r="F143" s="160"/>
      <c r="G143" s="159"/>
      <c r="H143" s="159"/>
      <c r="I143" s="103">
        <v>0</v>
      </c>
      <c r="J143" s="159" t="s">
        <v>17</v>
      </c>
      <c r="K143" s="103">
        <v>0</v>
      </c>
      <c r="L143" s="103">
        <v>0</v>
      </c>
      <c r="M143" s="323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2"/>
      <c r="B144" s="248" t="s">
        <v>157</v>
      </c>
      <c r="C144" s="248"/>
      <c r="D144" s="248"/>
      <c r="E144" s="248"/>
      <c r="F144" s="248"/>
      <c r="G144" s="24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30" x14ac:dyDescent="0.25">
      <c r="A145" s="51">
        <v>1</v>
      </c>
      <c r="B145" s="52" t="s">
        <v>145</v>
      </c>
      <c r="C145" s="164" t="s">
        <v>29</v>
      </c>
      <c r="D145" s="164">
        <v>800</v>
      </c>
      <c r="E145" s="157">
        <f>152+15</f>
        <v>167</v>
      </c>
      <c r="F145" s="164">
        <f>D145-E145</f>
        <v>633</v>
      </c>
      <c r="G145" s="159">
        <v>5.1159999999999997</v>
      </c>
      <c r="H145" s="159">
        <f>1.2+1.31</f>
        <v>2.5099999999999998</v>
      </c>
      <c r="I145" s="164">
        <f t="shared" ref="I145:I148" si="5">G145-H145</f>
        <v>2.6059999999999999</v>
      </c>
      <c r="J145" s="159" t="s">
        <v>137</v>
      </c>
      <c r="K145" s="157">
        <f>G145*6.8</f>
        <v>34.788799999999995</v>
      </c>
      <c r="L145" s="157">
        <f>I145*6.8</f>
        <v>17.720799999999997</v>
      </c>
      <c r="M145" s="324"/>
      <c r="N145" s="2"/>
      <c r="P145" s="2"/>
      <c r="Q145" s="2"/>
      <c r="R145" s="2"/>
      <c r="S145" s="2"/>
      <c r="T145" s="2"/>
      <c r="U145" s="2"/>
      <c r="V145" s="2"/>
    </row>
    <row r="146" spans="1:22" ht="30" x14ac:dyDescent="0.25">
      <c r="A146" s="51">
        <v>2</v>
      </c>
      <c r="B146" s="52" t="s">
        <v>146</v>
      </c>
      <c r="C146" s="164" t="s">
        <v>29</v>
      </c>
      <c r="D146" s="164">
        <v>600</v>
      </c>
      <c r="E146" s="324">
        <f>114+9</f>
        <v>123</v>
      </c>
      <c r="F146" s="164">
        <f t="shared" ref="F146:F148" si="6">D146-E146</f>
        <v>477</v>
      </c>
      <c r="G146" s="325">
        <f>3.837</f>
        <v>3.8370000000000002</v>
      </c>
      <c r="H146" s="325">
        <f>1.31</f>
        <v>1.31</v>
      </c>
      <c r="I146" s="164">
        <f t="shared" si="5"/>
        <v>2.5270000000000001</v>
      </c>
      <c r="J146" s="159" t="s">
        <v>137</v>
      </c>
      <c r="K146" s="157">
        <f>G146*6.8</f>
        <v>26.0916</v>
      </c>
      <c r="L146" s="157">
        <f>H146*6.8</f>
        <v>8.9079999999999995</v>
      </c>
      <c r="M146" s="324"/>
      <c r="N146" s="2"/>
      <c r="P146" s="2"/>
      <c r="Q146" s="2"/>
      <c r="R146" s="2"/>
      <c r="S146" s="2"/>
      <c r="T146" s="2"/>
      <c r="U146" s="2"/>
      <c r="V146" s="2"/>
    </row>
    <row r="147" spans="1:22" ht="30" x14ac:dyDescent="0.25">
      <c r="A147" s="51">
        <v>3</v>
      </c>
      <c r="B147" s="52" t="s">
        <v>147</v>
      </c>
      <c r="C147" s="164" t="s">
        <v>29</v>
      </c>
      <c r="D147" s="164">
        <v>200</v>
      </c>
      <c r="E147" s="324">
        <f>38+6</f>
        <v>44</v>
      </c>
      <c r="F147" s="164">
        <f t="shared" si="6"/>
        <v>156</v>
      </c>
      <c r="G147" s="325">
        <v>1.2789999999999999</v>
      </c>
      <c r="H147" s="325">
        <v>1.214</v>
      </c>
      <c r="I147" s="164">
        <f t="shared" si="5"/>
        <v>6.4999999999999947E-2</v>
      </c>
      <c r="J147" s="159" t="s">
        <v>137</v>
      </c>
      <c r="K147" s="157">
        <f>G147*6.8</f>
        <v>8.6971999999999987</v>
      </c>
      <c r="L147" s="157">
        <f>H147*6.8</f>
        <v>8.2552000000000003</v>
      </c>
      <c r="M147" s="324"/>
      <c r="N147" s="2"/>
      <c r="P147" s="2"/>
      <c r="Q147" s="2"/>
      <c r="R147" s="2"/>
      <c r="S147" s="2"/>
      <c r="T147" s="2"/>
      <c r="U147" s="2"/>
      <c r="V147" s="2"/>
    </row>
    <row r="148" spans="1:22" ht="123.75" customHeight="1" x14ac:dyDescent="0.25">
      <c r="A148" s="51">
        <v>4</v>
      </c>
      <c r="B148" s="53" t="s">
        <v>148</v>
      </c>
      <c r="C148" s="164" t="s">
        <v>29</v>
      </c>
      <c r="D148" s="164">
        <v>48.6</v>
      </c>
      <c r="E148" s="164">
        <v>48.6</v>
      </c>
      <c r="F148" s="164">
        <f t="shared" si="6"/>
        <v>0</v>
      </c>
      <c r="G148" s="164">
        <v>6.4260000000000002</v>
      </c>
      <c r="H148" s="164">
        <v>6.4260000000000002</v>
      </c>
      <c r="I148" s="164">
        <f t="shared" si="5"/>
        <v>0</v>
      </c>
      <c r="J148" s="159" t="s">
        <v>137</v>
      </c>
      <c r="K148" s="164">
        <f>(G148*6.08)</f>
        <v>39.070080000000004</v>
      </c>
      <c r="L148" s="164">
        <f>(H148*6.08)</f>
        <v>39.070080000000004</v>
      </c>
      <c r="M148" s="325">
        <f>K148-L148</f>
        <v>0</v>
      </c>
      <c r="N148" s="2"/>
      <c r="P148" s="2"/>
      <c r="Q148" s="2"/>
      <c r="R148" s="2"/>
      <c r="S148" s="2"/>
      <c r="T148" s="2"/>
      <c r="U148" s="2"/>
      <c r="V148" s="2"/>
    </row>
    <row r="149" spans="1:22" ht="270" x14ac:dyDescent="0.25">
      <c r="A149" s="51">
        <v>5</v>
      </c>
      <c r="B149" s="52" t="s">
        <v>149</v>
      </c>
      <c r="C149" s="164" t="s">
        <v>29</v>
      </c>
      <c r="D149" s="326">
        <v>100</v>
      </c>
      <c r="E149" s="326">
        <v>66.81</v>
      </c>
      <c r="F149" s="326">
        <f>D149-E149</f>
        <v>33.19</v>
      </c>
      <c r="G149" s="327"/>
      <c r="H149" s="111"/>
      <c r="I149" s="327"/>
      <c r="J149" s="159" t="s">
        <v>25</v>
      </c>
      <c r="K149" s="161"/>
      <c r="L149" s="161"/>
      <c r="M149" s="328"/>
      <c r="N149" s="2"/>
      <c r="P149" s="2"/>
      <c r="Q149" s="2"/>
      <c r="R149" s="2"/>
      <c r="S149" s="2"/>
      <c r="T149" s="2"/>
      <c r="U149" s="2"/>
      <c r="V149" s="2"/>
    </row>
    <row r="150" spans="1:22" ht="165" x14ac:dyDescent="0.25">
      <c r="A150" s="51">
        <v>6</v>
      </c>
      <c r="B150" s="52" t="s">
        <v>150</v>
      </c>
      <c r="C150" s="164" t="s">
        <v>29</v>
      </c>
      <c r="D150" s="164">
        <v>1100</v>
      </c>
      <c r="E150" s="157">
        <v>0</v>
      </c>
      <c r="F150" s="164">
        <f t="shared" ref="F150:F156" si="7">D150-E150</f>
        <v>1100</v>
      </c>
      <c r="G150" s="164"/>
      <c r="H150" s="164"/>
      <c r="I150" s="164"/>
      <c r="J150" s="164"/>
      <c r="K150" s="164"/>
      <c r="L150" s="164"/>
      <c r="M150" s="325"/>
      <c r="N150" s="2"/>
      <c r="P150" s="2"/>
      <c r="Q150" s="2"/>
      <c r="R150" s="2"/>
      <c r="S150" s="2"/>
      <c r="T150" s="2"/>
      <c r="U150" s="2"/>
      <c r="V150" s="2"/>
    </row>
    <row r="151" spans="1:22" ht="150" x14ac:dyDescent="0.25">
      <c r="A151" s="51">
        <v>7</v>
      </c>
      <c r="B151" s="52" t="s">
        <v>151</v>
      </c>
      <c r="C151" s="164" t="s">
        <v>29</v>
      </c>
      <c r="D151" s="164">
        <v>800</v>
      </c>
      <c r="E151" s="157">
        <v>800</v>
      </c>
      <c r="F151" s="164">
        <f t="shared" si="7"/>
        <v>0</v>
      </c>
      <c r="G151" s="164" t="s">
        <v>17</v>
      </c>
      <c r="H151" s="164" t="s">
        <v>17</v>
      </c>
      <c r="I151" s="164" t="s">
        <v>17</v>
      </c>
      <c r="J151" s="164" t="s">
        <v>17</v>
      </c>
      <c r="K151" s="159"/>
      <c r="L151" s="159"/>
      <c r="M151" s="325"/>
      <c r="N151" s="2"/>
      <c r="P151" s="2"/>
      <c r="Q151" s="2"/>
      <c r="R151" s="2"/>
      <c r="S151" s="2"/>
      <c r="T151" s="2"/>
      <c r="U151" s="2"/>
      <c r="V151" s="2"/>
    </row>
    <row r="152" spans="1:22" ht="135" x14ac:dyDescent="0.25">
      <c r="A152" s="51">
        <v>8</v>
      </c>
      <c r="B152" s="52" t="s">
        <v>152</v>
      </c>
      <c r="C152" s="164" t="s">
        <v>29</v>
      </c>
      <c r="D152" s="164">
        <v>3.5</v>
      </c>
      <c r="E152" s="157">
        <v>2.5</v>
      </c>
      <c r="F152" s="164">
        <f t="shared" si="7"/>
        <v>1</v>
      </c>
      <c r="G152" s="164"/>
      <c r="H152" s="164"/>
      <c r="I152" s="164"/>
      <c r="J152" s="164"/>
      <c r="K152" s="164"/>
      <c r="L152" s="164"/>
      <c r="M152" s="325"/>
      <c r="N152" s="2"/>
      <c r="P152" s="2"/>
      <c r="Q152" s="2"/>
      <c r="R152" s="2"/>
      <c r="S152" s="2"/>
      <c r="T152" s="2"/>
      <c r="U152" s="2"/>
      <c r="V152" s="2"/>
    </row>
    <row r="153" spans="1:22" ht="45" x14ac:dyDescent="0.25">
      <c r="A153" s="51">
        <v>9</v>
      </c>
      <c r="B153" s="52" t="s">
        <v>153</v>
      </c>
      <c r="C153" s="164" t="s">
        <v>29</v>
      </c>
      <c r="D153" s="164">
        <v>800</v>
      </c>
      <c r="E153" s="329">
        <v>0</v>
      </c>
      <c r="F153" s="164">
        <f t="shared" si="7"/>
        <v>800</v>
      </c>
      <c r="G153" s="164"/>
      <c r="H153" s="164"/>
      <c r="I153" s="164"/>
      <c r="J153" s="164"/>
      <c r="K153" s="164"/>
      <c r="L153" s="164"/>
      <c r="M153" s="325"/>
      <c r="N153" s="2"/>
      <c r="P153" s="2"/>
      <c r="Q153" s="2"/>
      <c r="R153" s="2"/>
      <c r="S153" s="2"/>
      <c r="T153" s="2"/>
      <c r="U153" s="2"/>
      <c r="V153" s="2"/>
    </row>
    <row r="154" spans="1:22" ht="45" x14ac:dyDescent="0.25">
      <c r="A154" s="51">
        <v>10</v>
      </c>
      <c r="B154" s="52" t="s">
        <v>154</v>
      </c>
      <c r="C154" s="164" t="s">
        <v>29</v>
      </c>
      <c r="D154" s="90">
        <v>187</v>
      </c>
      <c r="E154" s="329">
        <v>36</v>
      </c>
      <c r="F154" s="164">
        <f t="shared" si="7"/>
        <v>151</v>
      </c>
      <c r="G154" s="164"/>
      <c r="H154" s="164"/>
      <c r="I154" s="164"/>
      <c r="J154" s="164" t="s">
        <v>25</v>
      </c>
      <c r="K154" s="164"/>
      <c r="L154" s="164"/>
      <c r="M154" s="325"/>
      <c r="N154" s="2"/>
      <c r="P154" s="2"/>
      <c r="Q154" s="2"/>
      <c r="R154" s="2"/>
      <c r="S154" s="2"/>
      <c r="T154" s="2"/>
      <c r="U154" s="2"/>
      <c r="V154" s="2"/>
    </row>
    <row r="155" spans="1:22" ht="45" x14ac:dyDescent="0.25">
      <c r="A155" s="51">
        <v>11</v>
      </c>
      <c r="B155" s="52" t="s">
        <v>155</v>
      </c>
      <c r="C155" s="164" t="s">
        <v>29</v>
      </c>
      <c r="D155" s="164">
        <v>3200</v>
      </c>
      <c r="E155" s="157">
        <v>0</v>
      </c>
      <c r="F155" s="164">
        <f t="shared" si="7"/>
        <v>3200</v>
      </c>
      <c r="G155" s="164"/>
      <c r="H155" s="164"/>
      <c r="I155" s="164"/>
      <c r="J155" s="164" t="s">
        <v>25</v>
      </c>
      <c r="K155" s="164"/>
      <c r="L155" s="164"/>
      <c r="M155" s="325"/>
      <c r="N155" s="2"/>
      <c r="P155" s="2"/>
      <c r="Q155" s="2"/>
      <c r="R155" s="2"/>
      <c r="S155" s="2"/>
      <c r="T155" s="2"/>
      <c r="U155" s="2"/>
      <c r="V155" s="2"/>
    </row>
    <row r="156" spans="1:22" ht="135" x14ac:dyDescent="0.25">
      <c r="A156" s="51">
        <v>12</v>
      </c>
      <c r="B156" s="55" t="s">
        <v>156</v>
      </c>
      <c r="C156" s="164" t="s">
        <v>29</v>
      </c>
      <c r="D156" s="164">
        <v>111.3</v>
      </c>
      <c r="E156" s="157">
        <v>44.52</v>
      </c>
      <c r="F156" s="164">
        <f t="shared" si="7"/>
        <v>66.78</v>
      </c>
      <c r="G156" s="164"/>
      <c r="H156" s="164"/>
      <c r="I156" s="164"/>
      <c r="J156" s="164"/>
      <c r="K156" s="164"/>
      <c r="L156" s="164"/>
      <c r="M156" s="325"/>
      <c r="N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49" t="s">
        <v>16</v>
      </c>
      <c r="B157" s="249"/>
      <c r="C157" s="250"/>
      <c r="D157" s="56">
        <f>SUM(D146:D156)</f>
        <v>7150.4000000000005</v>
      </c>
      <c r="E157" s="56">
        <f>SUM(E146:E156)</f>
        <v>1165.4299999999998</v>
      </c>
      <c r="F157" s="155" t="s">
        <v>17</v>
      </c>
      <c r="G157" s="155" t="s">
        <v>17</v>
      </c>
      <c r="H157" s="57"/>
      <c r="I157" s="325">
        <f>H148+H147+H146</f>
        <v>8.9500000000000011</v>
      </c>
      <c r="J157" s="159" t="s">
        <v>137</v>
      </c>
      <c r="K157" s="333">
        <f>SUM(L146:L156)</f>
        <v>56.233280000000008</v>
      </c>
      <c r="L157" s="334"/>
      <c r="M157" s="341"/>
      <c r="N157" s="331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330"/>
      <c r="B158" s="330"/>
      <c r="C158" s="330"/>
      <c r="D158" s="56"/>
      <c r="E158" s="56"/>
      <c r="F158" s="155" t="s">
        <v>17</v>
      </c>
      <c r="G158" s="155" t="s">
        <v>17</v>
      </c>
      <c r="H158" s="57"/>
      <c r="I158" s="164"/>
      <c r="J158" s="164" t="s">
        <v>25</v>
      </c>
      <c r="K158" s="54"/>
      <c r="L158" s="52"/>
      <c r="M158" s="341"/>
      <c r="N158" s="331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43" t="s">
        <v>18</v>
      </c>
      <c r="B159" s="243"/>
      <c r="C159" s="243"/>
      <c r="D159" s="335">
        <v>7150</v>
      </c>
      <c r="E159" s="335">
        <v>1165</v>
      </c>
      <c r="F159" s="335" t="s">
        <v>17</v>
      </c>
      <c r="G159" s="335" t="s">
        <v>17</v>
      </c>
      <c r="H159" s="335" t="s">
        <v>17</v>
      </c>
      <c r="I159" s="335" t="s">
        <v>17</v>
      </c>
      <c r="J159" s="335" t="s">
        <v>17</v>
      </c>
      <c r="K159" s="336" t="s">
        <v>239</v>
      </c>
      <c r="L159" s="337">
        <v>56.23</v>
      </c>
      <c r="M159" s="341"/>
      <c r="N159" s="33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191" t="s">
        <v>188</v>
      </c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60" x14ac:dyDescent="0.25">
      <c r="A161" s="87">
        <v>1</v>
      </c>
      <c r="B161" s="111" t="s">
        <v>179</v>
      </c>
      <c r="C161" s="87"/>
      <c r="D161" s="87">
        <v>12</v>
      </c>
      <c r="E161" s="111">
        <v>7.47</v>
      </c>
      <c r="F161" s="87"/>
      <c r="G161" s="87">
        <v>20</v>
      </c>
      <c r="H161" s="87">
        <v>15.106999999999999</v>
      </c>
      <c r="I161" s="87"/>
      <c r="J161" s="159" t="s">
        <v>137</v>
      </c>
      <c r="K161" s="87">
        <v>80</v>
      </c>
      <c r="L161" s="87">
        <v>75.5</v>
      </c>
      <c r="M161" s="164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338" t="s">
        <v>18</v>
      </c>
      <c r="B162" s="338"/>
      <c r="C162" s="338"/>
      <c r="D162" s="160">
        <v>12</v>
      </c>
      <c r="E162" s="160">
        <v>7.47</v>
      </c>
      <c r="F162" s="335" t="s">
        <v>17</v>
      </c>
      <c r="G162" s="335" t="s">
        <v>17</v>
      </c>
      <c r="H162" s="335" t="s">
        <v>17</v>
      </c>
      <c r="I162" s="160">
        <v>15.106999999999999</v>
      </c>
      <c r="J162" s="103" t="s">
        <v>137</v>
      </c>
      <c r="K162" s="207">
        <v>75</v>
      </c>
      <c r="L162" s="208"/>
      <c r="M162" s="164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339" t="s">
        <v>189</v>
      </c>
      <c r="B163" s="339"/>
      <c r="C163" s="339"/>
      <c r="D163" s="339"/>
      <c r="E163" s="339"/>
      <c r="F163" s="339"/>
      <c r="G163" s="339"/>
      <c r="H163" s="339"/>
      <c r="I163" s="145"/>
      <c r="J163" s="145"/>
      <c r="K163" s="145"/>
      <c r="L163" s="145"/>
      <c r="M163" s="145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60" x14ac:dyDescent="0.25">
      <c r="A164" s="87">
        <v>1</v>
      </c>
      <c r="B164" s="111" t="s">
        <v>179</v>
      </c>
      <c r="C164" s="87"/>
      <c r="D164" s="87">
        <v>19.670000000000002</v>
      </c>
      <c r="E164" s="87">
        <v>10.159000000000001</v>
      </c>
      <c r="F164" s="87"/>
      <c r="G164" s="87">
        <v>6.1769999999999996</v>
      </c>
      <c r="H164" s="87">
        <v>3.1890000000000001</v>
      </c>
      <c r="I164" s="87"/>
      <c r="J164" s="110" t="s">
        <v>177</v>
      </c>
      <c r="K164" s="87">
        <v>40.533999999999999</v>
      </c>
      <c r="L164" s="87">
        <v>20.93</v>
      </c>
      <c r="M164" s="164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60" x14ac:dyDescent="0.25">
      <c r="A165" s="101">
        <v>2</v>
      </c>
      <c r="B165" s="101" t="s">
        <v>190</v>
      </c>
      <c r="C165" s="101"/>
      <c r="D165" s="101">
        <v>21.7</v>
      </c>
      <c r="E165" s="101">
        <v>50.752000000000002</v>
      </c>
      <c r="F165" s="101"/>
      <c r="G165" s="101">
        <v>4.43</v>
      </c>
      <c r="H165" s="101">
        <v>10.36</v>
      </c>
      <c r="I165" s="101"/>
      <c r="J165" s="101" t="s">
        <v>25</v>
      </c>
      <c r="K165" s="101">
        <v>11.079000000000001</v>
      </c>
      <c r="L165" s="101">
        <v>25.9</v>
      </c>
      <c r="M165" s="164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249" t="s">
        <v>16</v>
      </c>
      <c r="B166" s="249"/>
      <c r="C166" s="250"/>
      <c r="D166" s="345">
        <f>SUM(D164:D165)</f>
        <v>41.370000000000005</v>
      </c>
      <c r="E166" s="345">
        <f>SUM(E164:E165)</f>
        <v>60.911000000000001</v>
      </c>
      <c r="F166" s="335" t="s">
        <v>17</v>
      </c>
      <c r="G166" s="335" t="s">
        <v>17</v>
      </c>
      <c r="H166" s="335" t="s">
        <v>17</v>
      </c>
      <c r="I166" s="342">
        <f>H164</f>
        <v>3.1890000000000001</v>
      </c>
      <c r="J166" s="103" t="s">
        <v>137</v>
      </c>
      <c r="K166" s="343">
        <f>L164</f>
        <v>20.93</v>
      </c>
      <c r="L166" s="344"/>
      <c r="M166" s="164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 s="330"/>
      <c r="B167" s="330"/>
      <c r="C167" s="330"/>
      <c r="D167" s="346"/>
      <c r="E167" s="346"/>
      <c r="F167" s="335" t="s">
        <v>17</v>
      </c>
      <c r="G167" s="335" t="s">
        <v>17</v>
      </c>
      <c r="H167" s="335" t="s">
        <v>17</v>
      </c>
      <c r="I167" s="160">
        <f>H165</f>
        <v>10.36</v>
      </c>
      <c r="J167" s="160" t="s">
        <v>25</v>
      </c>
      <c r="K167" s="343">
        <f>L165</f>
        <v>25.9</v>
      </c>
      <c r="L167" s="344"/>
      <c r="M167" s="164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287" t="s">
        <v>18</v>
      </c>
      <c r="B168" s="287"/>
      <c r="C168" s="287"/>
      <c r="D168" s="335">
        <v>41</v>
      </c>
      <c r="E168" s="335">
        <v>61</v>
      </c>
      <c r="F168" s="335" t="s">
        <v>17</v>
      </c>
      <c r="G168" s="335" t="s">
        <v>17</v>
      </c>
      <c r="H168" s="335" t="s">
        <v>17</v>
      </c>
      <c r="I168" s="335" t="s">
        <v>17</v>
      </c>
      <c r="J168" s="335" t="s">
        <v>239</v>
      </c>
      <c r="K168" s="336">
        <f>SUM(K166:K167)</f>
        <v>46.83</v>
      </c>
      <c r="L168" s="337"/>
      <c r="M168" s="164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" customHeight="1" x14ac:dyDescent="0.25">
      <c r="A169" s="163"/>
      <c r="B169" s="238" t="s">
        <v>191</v>
      </c>
      <c r="C169" s="238"/>
      <c r="D169" s="340"/>
      <c r="E169" s="163"/>
      <c r="F169" s="163"/>
      <c r="G169" s="163"/>
      <c r="H169" s="163"/>
      <c r="I169" s="163"/>
      <c r="J169" s="163"/>
      <c r="K169" s="163"/>
      <c r="L169" s="163"/>
      <c r="M169" s="145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60" x14ac:dyDescent="0.25">
      <c r="A170" s="101"/>
      <c r="B170" s="111" t="s">
        <v>179</v>
      </c>
      <c r="C170" s="101"/>
      <c r="D170" s="101">
        <v>19</v>
      </c>
      <c r="E170" s="101">
        <v>19</v>
      </c>
      <c r="F170" s="101"/>
      <c r="G170" s="101"/>
      <c r="H170" s="101">
        <v>12.16</v>
      </c>
      <c r="I170" s="101"/>
      <c r="J170" s="110" t="s">
        <v>177</v>
      </c>
      <c r="K170" s="101"/>
      <c r="L170" s="101">
        <v>83</v>
      </c>
      <c r="M170" s="164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 s="338" t="s">
        <v>18</v>
      </c>
      <c r="B171" s="338"/>
      <c r="C171" s="338"/>
      <c r="D171" s="160">
        <v>19</v>
      </c>
      <c r="E171" s="160">
        <v>19</v>
      </c>
      <c r="F171" s="335" t="s">
        <v>17</v>
      </c>
      <c r="G171" s="335" t="s">
        <v>17</v>
      </c>
      <c r="H171" s="335" t="s">
        <v>17</v>
      </c>
      <c r="I171" s="160">
        <v>12.16</v>
      </c>
      <c r="J171" s="103" t="s">
        <v>137</v>
      </c>
      <c r="K171" s="247">
        <v>83</v>
      </c>
      <c r="L171" s="247"/>
      <c r="M171" s="164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 s="146"/>
      <c r="B172" s="240" t="s">
        <v>192</v>
      </c>
      <c r="C172" s="240"/>
      <c r="D172" s="146"/>
      <c r="E172" s="146"/>
      <c r="F172" s="146"/>
      <c r="G172" s="146"/>
      <c r="H172" s="146"/>
      <c r="I172" s="146"/>
      <c r="J172" s="146"/>
      <c r="K172" s="146"/>
      <c r="L172" s="146"/>
      <c r="M172" s="145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60" x14ac:dyDescent="0.25">
      <c r="A173" s="87">
        <v>1</v>
      </c>
      <c r="B173" s="111" t="s">
        <v>179</v>
      </c>
      <c r="C173" s="101"/>
      <c r="D173" s="101">
        <v>309.42</v>
      </c>
      <c r="E173" s="101">
        <v>309.42</v>
      </c>
      <c r="F173" s="101"/>
      <c r="G173" s="101">
        <v>0.89300000000000002</v>
      </c>
      <c r="H173" s="101">
        <v>0.89300000000000002</v>
      </c>
      <c r="I173" s="101"/>
      <c r="J173" s="110" t="s">
        <v>177</v>
      </c>
      <c r="K173" s="101">
        <v>5.42</v>
      </c>
      <c r="L173" s="101">
        <v>5.42</v>
      </c>
      <c r="M173" s="164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60" x14ac:dyDescent="0.25">
      <c r="A174" s="101">
        <v>2</v>
      </c>
      <c r="B174" s="101" t="s">
        <v>190</v>
      </c>
      <c r="C174" s="101"/>
      <c r="D174" s="101">
        <v>17</v>
      </c>
      <c r="E174" s="101">
        <v>17</v>
      </c>
      <c r="F174" s="101"/>
      <c r="G174" s="101">
        <v>5.3</v>
      </c>
      <c r="H174" s="101">
        <v>5.3</v>
      </c>
      <c r="I174" s="101"/>
      <c r="J174" s="101" t="s">
        <v>25</v>
      </c>
      <c r="K174" s="101">
        <v>13.144</v>
      </c>
      <c r="L174" s="101">
        <v>13.144</v>
      </c>
      <c r="M174" s="164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60" x14ac:dyDescent="0.25">
      <c r="A175" s="101">
        <v>3</v>
      </c>
      <c r="B175" s="110" t="s">
        <v>180</v>
      </c>
      <c r="C175" s="101"/>
      <c r="D175" s="101"/>
      <c r="E175" s="101"/>
      <c r="F175" s="101"/>
      <c r="G175" s="101">
        <v>0.26900000000000002</v>
      </c>
      <c r="H175" s="101">
        <v>0.26900000000000002</v>
      </c>
      <c r="I175" s="101"/>
      <c r="J175" s="101" t="s">
        <v>181</v>
      </c>
      <c r="K175" s="101">
        <v>7.1</v>
      </c>
      <c r="L175" s="101">
        <v>7.1</v>
      </c>
      <c r="M175" s="164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 s="249" t="s">
        <v>16</v>
      </c>
      <c r="B176" s="249"/>
      <c r="C176" s="250"/>
      <c r="D176" s="348">
        <f>SUM(D173:D175)</f>
        <v>326.42</v>
      </c>
      <c r="E176" s="348">
        <f>SUM(E173:E175)</f>
        <v>326.42</v>
      </c>
      <c r="F176" s="335" t="s">
        <v>17</v>
      </c>
      <c r="G176" s="335" t="s">
        <v>17</v>
      </c>
      <c r="H176" s="335" t="s">
        <v>17</v>
      </c>
      <c r="I176" s="342">
        <f>H173</f>
        <v>0.89300000000000002</v>
      </c>
      <c r="J176" s="103" t="s">
        <v>137</v>
      </c>
      <c r="K176" s="343">
        <f>L173</f>
        <v>5.42</v>
      </c>
      <c r="L176" s="344"/>
      <c r="M176" s="335" t="s">
        <v>17</v>
      </c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 s="330"/>
      <c r="B177" s="330"/>
      <c r="C177" s="330"/>
      <c r="D177" s="349"/>
      <c r="E177" s="349"/>
      <c r="F177" s="335" t="s">
        <v>17</v>
      </c>
      <c r="G177" s="335" t="s">
        <v>17</v>
      </c>
      <c r="H177" s="335" t="s">
        <v>17</v>
      </c>
      <c r="I177" s="342">
        <f>H175</f>
        <v>0.26900000000000002</v>
      </c>
      <c r="J177" s="103" t="s">
        <v>107</v>
      </c>
      <c r="K177" s="343">
        <f>L175</f>
        <v>7.1</v>
      </c>
      <c r="L177" s="344"/>
      <c r="M177" s="335" t="s">
        <v>17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 s="330"/>
      <c r="B178" s="330"/>
      <c r="C178" s="330"/>
      <c r="D178" s="350"/>
      <c r="E178" s="350"/>
      <c r="F178" s="335" t="s">
        <v>17</v>
      </c>
      <c r="G178" s="335" t="s">
        <v>17</v>
      </c>
      <c r="H178" s="335" t="s">
        <v>17</v>
      </c>
      <c r="I178" s="160">
        <f>H174</f>
        <v>5.3</v>
      </c>
      <c r="J178" s="160" t="s">
        <v>25</v>
      </c>
      <c r="K178" s="343">
        <f>L174</f>
        <v>13.144</v>
      </c>
      <c r="L178" s="344"/>
      <c r="M178" s="335" t="s">
        <v>17</v>
      </c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 s="287" t="s">
        <v>18</v>
      </c>
      <c r="B179" s="287"/>
      <c r="C179" s="287"/>
      <c r="D179" s="347">
        <v>326.42</v>
      </c>
      <c r="E179" s="347">
        <v>326.42</v>
      </c>
      <c r="F179" s="335" t="s">
        <v>17</v>
      </c>
      <c r="G179" s="335" t="s">
        <v>17</v>
      </c>
      <c r="H179" s="335" t="s">
        <v>17</v>
      </c>
      <c r="I179" s="335" t="s">
        <v>17</v>
      </c>
      <c r="J179" s="335" t="s">
        <v>239</v>
      </c>
      <c r="K179" s="343">
        <f>SUM(K176:K178)</f>
        <v>25.664000000000001</v>
      </c>
      <c r="L179" s="344"/>
      <c r="M179" s="335" t="s">
        <v>17</v>
      </c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" customHeight="1" x14ac:dyDescent="0.25">
      <c r="A180" s="163"/>
      <c r="B180" s="163"/>
      <c r="C180" s="351" t="s">
        <v>212</v>
      </c>
      <c r="D180" s="351"/>
      <c r="E180" s="163"/>
      <c r="F180" s="163"/>
      <c r="G180" s="163"/>
      <c r="H180" s="163"/>
      <c r="I180" s="163"/>
      <c r="J180" s="163"/>
      <c r="K180" s="163"/>
      <c r="L180" s="163"/>
      <c r="M180" s="16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08.75" customHeight="1" x14ac:dyDescent="0.25">
      <c r="A181" s="101">
        <v>1</v>
      </c>
      <c r="B181" s="101" t="s">
        <v>213</v>
      </c>
      <c r="C181" s="101"/>
      <c r="D181" s="159">
        <v>4.9000000000000004</v>
      </c>
      <c r="E181" s="159">
        <v>0.1</v>
      </c>
      <c r="F181" s="159"/>
      <c r="G181" s="159">
        <v>3.4</v>
      </c>
      <c r="H181" s="159">
        <v>0.8</v>
      </c>
      <c r="I181" s="159"/>
      <c r="J181" s="159" t="s">
        <v>25</v>
      </c>
      <c r="K181" s="159">
        <v>8.3000000000000007</v>
      </c>
      <c r="L181" s="159">
        <v>1.9</v>
      </c>
      <c r="M181" s="164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14.75" customHeight="1" x14ac:dyDescent="0.25">
      <c r="A182" s="101">
        <v>2</v>
      </c>
      <c r="B182" s="101" t="s">
        <v>214</v>
      </c>
      <c r="C182" s="101"/>
      <c r="D182" s="159">
        <v>4.9000000000000004</v>
      </c>
      <c r="E182" s="159">
        <v>0.1</v>
      </c>
      <c r="F182" s="159"/>
      <c r="G182" s="159">
        <v>6.8</v>
      </c>
      <c r="H182" s="159"/>
      <c r="I182" s="159"/>
      <c r="J182" s="159" t="s">
        <v>25</v>
      </c>
      <c r="K182" s="159">
        <v>16.600000000000001</v>
      </c>
      <c r="L182" s="159"/>
      <c r="M182" s="164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81" customHeight="1" x14ac:dyDescent="0.25">
      <c r="A183" s="101">
        <v>3</v>
      </c>
      <c r="B183" s="101" t="s">
        <v>215</v>
      </c>
      <c r="C183" s="101"/>
      <c r="D183" s="159">
        <v>13</v>
      </c>
      <c r="E183" s="159">
        <v>2.1</v>
      </c>
      <c r="F183" s="159"/>
      <c r="G183" s="159">
        <v>1.6479999999999999</v>
      </c>
      <c r="H183" s="159">
        <v>13.058</v>
      </c>
      <c r="I183" s="159"/>
      <c r="J183" s="159" t="s">
        <v>217</v>
      </c>
      <c r="K183" s="159">
        <v>8</v>
      </c>
      <c r="L183" s="159">
        <v>79.3</v>
      </c>
      <c r="M183" s="164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81" customHeight="1" x14ac:dyDescent="0.25">
      <c r="A184" s="101">
        <v>4</v>
      </c>
      <c r="B184" s="101" t="s">
        <v>216</v>
      </c>
      <c r="C184" s="101"/>
      <c r="D184" s="159">
        <v>22.2</v>
      </c>
      <c r="E184" s="159">
        <v>5.8</v>
      </c>
      <c r="F184" s="159"/>
      <c r="G184" s="159">
        <v>3.028</v>
      </c>
      <c r="H184" s="159">
        <v>29.128</v>
      </c>
      <c r="I184" s="159"/>
      <c r="J184" s="159" t="s">
        <v>217</v>
      </c>
      <c r="K184" s="159">
        <v>14.6</v>
      </c>
      <c r="L184" s="159">
        <v>177</v>
      </c>
      <c r="M184" s="164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.25" customHeight="1" x14ac:dyDescent="0.25">
      <c r="A185" s="249" t="s">
        <v>16</v>
      </c>
      <c r="B185" s="249"/>
      <c r="C185" s="250"/>
      <c r="D185" s="345">
        <f>SUM(D181:D184)</f>
        <v>45</v>
      </c>
      <c r="E185" s="345">
        <f>SUM(E181:E184)</f>
        <v>8.1</v>
      </c>
      <c r="F185" s="335" t="s">
        <v>17</v>
      </c>
      <c r="G185" s="335" t="s">
        <v>17</v>
      </c>
      <c r="H185" s="335" t="s">
        <v>17</v>
      </c>
      <c r="I185" s="342">
        <f>H184+H183</f>
        <v>42.186</v>
      </c>
      <c r="J185" s="103" t="s">
        <v>137</v>
      </c>
      <c r="K185" s="343">
        <f>L184+L183</f>
        <v>256.3</v>
      </c>
      <c r="L185" s="344"/>
      <c r="M185" s="335" t="s">
        <v>17</v>
      </c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4.25" customHeight="1" x14ac:dyDescent="0.25">
      <c r="A186" s="330"/>
      <c r="B186" s="330"/>
      <c r="C186" s="330"/>
      <c r="D186" s="346"/>
      <c r="E186" s="346"/>
      <c r="F186" s="335" t="s">
        <v>17</v>
      </c>
      <c r="G186" s="335" t="s">
        <v>17</v>
      </c>
      <c r="H186" s="335" t="s">
        <v>17</v>
      </c>
      <c r="I186" s="160">
        <f>H181</f>
        <v>0.8</v>
      </c>
      <c r="J186" s="160" t="s">
        <v>25</v>
      </c>
      <c r="K186" s="343">
        <f>L181</f>
        <v>1.9</v>
      </c>
      <c r="L186" s="344"/>
      <c r="M186" s="335" t="s">
        <v>17</v>
      </c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 s="287" t="s">
        <v>18</v>
      </c>
      <c r="B187" s="287"/>
      <c r="C187" s="287"/>
      <c r="D187" s="335">
        <v>45</v>
      </c>
      <c r="E187" s="335">
        <v>8</v>
      </c>
      <c r="F187" s="335" t="s">
        <v>17</v>
      </c>
      <c r="G187" s="335" t="s">
        <v>17</v>
      </c>
      <c r="H187" s="335" t="s">
        <v>17</v>
      </c>
      <c r="I187" s="335" t="s">
        <v>17</v>
      </c>
      <c r="J187" s="335" t="s">
        <v>239</v>
      </c>
      <c r="K187" s="343">
        <f>SUM(K185:K186)</f>
        <v>258.2</v>
      </c>
      <c r="L187" s="344"/>
      <c r="M187" s="335" t="s">
        <v>17</v>
      </c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 s="355" t="s">
        <v>243</v>
      </c>
      <c r="B188" s="356"/>
      <c r="C188" s="356"/>
      <c r="D188" s="356"/>
      <c r="E188" s="356"/>
      <c r="F188" s="356"/>
      <c r="G188" s="356"/>
      <c r="H188" s="356"/>
      <c r="I188" s="356"/>
      <c r="J188" s="356"/>
      <c r="K188" s="356"/>
      <c r="L188" s="356"/>
      <c r="M188" s="357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30" x14ac:dyDescent="0.25">
      <c r="A189" s="128" t="s">
        <v>27</v>
      </c>
      <c r="B189" s="5" t="s">
        <v>113</v>
      </c>
      <c r="C189" s="164" t="s">
        <v>29</v>
      </c>
      <c r="D189" s="158">
        <v>25</v>
      </c>
      <c r="E189" s="158">
        <v>22</v>
      </c>
      <c r="F189" s="4"/>
      <c r="G189" s="156"/>
      <c r="H189" s="156">
        <v>6.9039999999999999</v>
      </c>
      <c r="I189" s="156"/>
      <c r="J189" s="159" t="s">
        <v>240</v>
      </c>
      <c r="K189" s="17"/>
      <c r="L189" s="17">
        <v>51.45</v>
      </c>
      <c r="M189" s="17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30" x14ac:dyDescent="0.25">
      <c r="A190" s="128" t="s">
        <v>28</v>
      </c>
      <c r="B190" s="5" t="s">
        <v>241</v>
      </c>
      <c r="C190" s="164" t="s">
        <v>29</v>
      </c>
      <c r="D190" s="158"/>
      <c r="E190" s="4"/>
      <c r="F190" s="4"/>
      <c r="G190" s="156">
        <v>25</v>
      </c>
      <c r="H190" s="156">
        <v>53</v>
      </c>
      <c r="I190" s="156">
        <v>28</v>
      </c>
      <c r="J190" s="159" t="s">
        <v>25</v>
      </c>
      <c r="K190" s="17"/>
      <c r="L190" s="17">
        <v>68</v>
      </c>
      <c r="M190" s="17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30" x14ac:dyDescent="0.25">
      <c r="A191" s="131" t="s">
        <v>128</v>
      </c>
      <c r="B191" s="5" t="s">
        <v>242</v>
      </c>
      <c r="C191" s="164" t="s">
        <v>29</v>
      </c>
      <c r="D191" s="354"/>
      <c r="E191" s="129"/>
      <c r="F191" s="129"/>
      <c r="G191" s="143">
        <v>50</v>
      </c>
      <c r="H191" s="156"/>
      <c r="I191" s="143"/>
      <c r="J191" s="161" t="s">
        <v>107</v>
      </c>
      <c r="K191" s="143"/>
      <c r="L191" s="143"/>
      <c r="M191" s="143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 s="248" t="s">
        <v>16</v>
      </c>
      <c r="B192" s="248"/>
      <c r="C192" s="164" t="s">
        <v>17</v>
      </c>
      <c r="D192" s="4">
        <v>25</v>
      </c>
      <c r="E192" s="4">
        <v>22</v>
      </c>
      <c r="F192" s="4"/>
      <c r="G192" s="5"/>
      <c r="H192" s="5"/>
      <c r="I192" s="103">
        <v>6.9039999999999999</v>
      </c>
      <c r="J192" s="103" t="s">
        <v>240</v>
      </c>
      <c r="K192" s="103">
        <f>L189</f>
        <v>51.45</v>
      </c>
      <c r="L192" s="159"/>
      <c r="M192" s="199" t="s">
        <v>17</v>
      </c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5">
      <c r="A193" s="191" t="s">
        <v>18</v>
      </c>
      <c r="B193" s="191"/>
      <c r="C193" s="199" t="s">
        <v>17</v>
      </c>
      <c r="D193" s="358">
        <v>25</v>
      </c>
      <c r="E193" s="358">
        <v>22</v>
      </c>
      <c r="F193" s="199" t="s">
        <v>17</v>
      </c>
      <c r="G193" s="199" t="s">
        <v>17</v>
      </c>
      <c r="H193" s="199" t="s">
        <v>17</v>
      </c>
      <c r="I193" s="160">
        <v>53</v>
      </c>
      <c r="J193" s="103" t="s">
        <v>25</v>
      </c>
      <c r="K193" s="103">
        <f>L190</f>
        <v>68</v>
      </c>
      <c r="L193" s="103"/>
      <c r="M193" s="230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5">
      <c r="A194" s="2"/>
      <c r="B194" s="2"/>
      <c r="C194" s="200"/>
      <c r="D194" s="359"/>
      <c r="E194" s="359"/>
      <c r="F194" s="200"/>
      <c r="G194" s="200"/>
      <c r="H194" s="200"/>
      <c r="I194" s="103"/>
      <c r="J194" s="103" t="s">
        <v>239</v>
      </c>
      <c r="K194" s="360">
        <v>119.45</v>
      </c>
      <c r="L194" s="360"/>
      <c r="M194" s="200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 s="255" t="s">
        <v>244</v>
      </c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  <c r="L195" s="255"/>
      <c r="M195" s="255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5">
      <c r="A196" s="223" t="s">
        <v>18</v>
      </c>
      <c r="B196" s="224"/>
      <c r="C196" s="215" t="s">
        <v>17</v>
      </c>
      <c r="D196" s="363"/>
      <c r="E196" s="363">
        <f>E193+E187+E179+E171+E168+E162+E159+E143+E139+E133+E127+E122+E118+E113+E106+E100+E93+E88</f>
        <v>4473.0410000000011</v>
      </c>
      <c r="F196" s="215" t="s">
        <v>117</v>
      </c>
      <c r="G196" s="215" t="s">
        <v>117</v>
      </c>
      <c r="H196" s="258">
        <f>I193+I186+I178+I167+I138+H114+H107+H89</f>
        <v>287.28999999999996</v>
      </c>
      <c r="I196" s="218"/>
      <c r="J196" s="108" t="s">
        <v>25</v>
      </c>
      <c r="K196" s="301">
        <f>K193+K186+K178+K167+L138+K114+K107+K89</f>
        <v>914.274</v>
      </c>
      <c r="L196" s="302"/>
      <c r="M196" s="215" t="s">
        <v>17</v>
      </c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5">
      <c r="A197" s="364"/>
      <c r="B197" s="365"/>
      <c r="C197" s="298"/>
      <c r="D197" s="366"/>
      <c r="E197" s="366"/>
      <c r="F197" s="298"/>
      <c r="G197" s="298"/>
      <c r="H197" s="258">
        <f>I177+H128+H108</f>
        <v>1.3359999999999999</v>
      </c>
      <c r="I197" s="259"/>
      <c r="J197" s="109" t="s">
        <v>107</v>
      </c>
      <c r="K197" s="260">
        <f>K177+K128+K108</f>
        <v>81.77</v>
      </c>
      <c r="L197" s="261"/>
      <c r="M197" s="298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5">
      <c r="A198" s="364"/>
      <c r="B198" s="365"/>
      <c r="C198" s="298"/>
      <c r="D198" s="366"/>
      <c r="E198" s="366"/>
      <c r="F198" s="298"/>
      <c r="G198" s="298"/>
      <c r="H198" s="258">
        <f>I192+I185+I176+I171+I166+I162+I157+I137+H127+H122+H118+H113+H106+H100+H88</f>
        <v>212.54699999999997</v>
      </c>
      <c r="I198" s="259"/>
      <c r="J198" s="109" t="s">
        <v>108</v>
      </c>
      <c r="K198" s="301">
        <f>K192+K185+K176+K171+K166+K162+K157+L137+K127+K122+K118+K113+K106+K100+K88</f>
        <v>1273.4732800000004</v>
      </c>
      <c r="L198" s="302"/>
      <c r="M198" s="298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5">
      <c r="A199" s="225"/>
      <c r="B199" s="226"/>
      <c r="C199" s="216"/>
      <c r="D199" s="367"/>
      <c r="E199" s="367"/>
      <c r="F199" s="216"/>
      <c r="G199" s="216"/>
      <c r="H199" s="258">
        <v>0</v>
      </c>
      <c r="I199" s="259"/>
      <c r="J199" s="102" t="s">
        <v>110</v>
      </c>
      <c r="K199" s="260">
        <v>0</v>
      </c>
      <c r="L199" s="261"/>
      <c r="M199" s="216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5">
      <c r="A200" s="368"/>
      <c r="B200" s="368"/>
      <c r="C200" s="368"/>
      <c r="D200" s="368"/>
      <c r="E200" s="368"/>
      <c r="F200" s="368"/>
      <c r="G200" s="368"/>
      <c r="H200" s="368"/>
      <c r="I200" s="369" t="s">
        <v>225</v>
      </c>
      <c r="J200" s="369"/>
      <c r="K200" s="370">
        <f>SUM(K196:K199)</f>
        <v>2269.5172800000005</v>
      </c>
      <c r="L200" s="371"/>
      <c r="M200" s="368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5">
      <c r="A201" s="372" t="s">
        <v>245</v>
      </c>
      <c r="B201" s="372"/>
      <c r="C201" s="372"/>
      <c r="D201" s="372"/>
      <c r="E201" s="372"/>
      <c r="F201" s="372"/>
      <c r="G201" s="372"/>
      <c r="H201" s="372"/>
      <c r="I201" s="372"/>
      <c r="J201" s="372"/>
      <c r="K201" s="372"/>
      <c r="L201" s="372"/>
      <c r="M201" s="37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5">
      <c r="A202" s="223" t="s">
        <v>18</v>
      </c>
      <c r="B202" s="224"/>
      <c r="C202" s="215" t="s">
        <v>17</v>
      </c>
      <c r="D202" s="363">
        <f>D79</f>
        <v>182238.25</v>
      </c>
      <c r="E202" s="363">
        <f>E196+E79</f>
        <v>216182.94099999996</v>
      </c>
      <c r="F202" s="215" t="s">
        <v>117</v>
      </c>
      <c r="G202" s="215" t="s">
        <v>117</v>
      </c>
      <c r="H202" s="258">
        <f>H196+H79</f>
        <v>3747.16</v>
      </c>
      <c r="I202" s="218"/>
      <c r="J202" s="108" t="s">
        <v>25</v>
      </c>
      <c r="K202" s="301">
        <f>K196+K79</f>
        <v>7946.8120000000008</v>
      </c>
      <c r="L202" s="302"/>
      <c r="M202" s="215" t="s">
        <v>17</v>
      </c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5">
      <c r="A203" s="364"/>
      <c r="B203" s="365"/>
      <c r="C203" s="298"/>
      <c r="D203" s="366"/>
      <c r="E203" s="366"/>
      <c r="F203" s="298"/>
      <c r="G203" s="298"/>
      <c r="H203" s="258">
        <f>H197+H80</f>
        <v>1304.02163</v>
      </c>
      <c r="I203" s="259"/>
      <c r="J203" s="109" t="s">
        <v>107</v>
      </c>
      <c r="K203" s="260">
        <f>K197+K80</f>
        <v>27742.217000000001</v>
      </c>
      <c r="L203" s="261"/>
      <c r="M203" s="298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5">
      <c r="A204" s="364"/>
      <c r="B204" s="365"/>
      <c r="C204" s="298"/>
      <c r="D204" s="366"/>
      <c r="E204" s="366"/>
      <c r="F204" s="298"/>
      <c r="G204" s="298"/>
      <c r="H204" s="258">
        <f>H198+H81</f>
        <v>713.16100000000006</v>
      </c>
      <c r="I204" s="259"/>
      <c r="J204" s="109" t="s">
        <v>108</v>
      </c>
      <c r="K204" s="301">
        <f>K198+K81</f>
        <v>4047.61834</v>
      </c>
      <c r="L204" s="302"/>
      <c r="M204" s="298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5">
      <c r="A205" s="225"/>
      <c r="B205" s="226"/>
      <c r="C205" s="216"/>
      <c r="D205" s="367"/>
      <c r="E205" s="367"/>
      <c r="F205" s="216"/>
      <c r="G205" s="216"/>
      <c r="H205" s="258">
        <f>H82</f>
        <v>197.5</v>
      </c>
      <c r="I205" s="259"/>
      <c r="J205" s="102" t="s">
        <v>110</v>
      </c>
      <c r="K205" s="260">
        <f>K82</f>
        <v>891.23699999999997</v>
      </c>
      <c r="L205" s="261"/>
      <c r="M205" s="216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5">
      <c r="A206" s="368"/>
      <c r="B206" s="368"/>
      <c r="C206" s="368"/>
      <c r="D206" s="368"/>
      <c r="E206" s="368"/>
      <c r="F206" s="368"/>
      <c r="G206" s="368"/>
      <c r="H206" s="368"/>
      <c r="I206" s="369" t="s">
        <v>225</v>
      </c>
      <c r="J206" s="369"/>
      <c r="K206" s="370">
        <f>SUM(K202:K205)</f>
        <v>40627.884340000004</v>
      </c>
      <c r="L206" s="371"/>
      <c r="M206" s="368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5">
      <c r="A207" s="330"/>
      <c r="B207" s="330"/>
      <c r="C207" s="330"/>
      <c r="D207" s="352"/>
      <c r="E207" s="352"/>
      <c r="F207" s="352"/>
      <c r="G207" s="352"/>
      <c r="H207" s="352"/>
      <c r="I207" s="352"/>
      <c r="J207" s="352"/>
      <c r="K207" s="353"/>
      <c r="L207" s="353"/>
      <c r="M207" s="35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5">
      <c r="A208" s="330"/>
      <c r="B208" s="330"/>
      <c r="C208" s="330"/>
      <c r="D208" s="352"/>
      <c r="E208" s="352"/>
      <c r="F208" s="352"/>
      <c r="G208" s="352"/>
      <c r="H208" s="352"/>
      <c r="I208" s="352"/>
      <c r="J208" s="352"/>
      <c r="K208" s="353"/>
      <c r="L208" s="353"/>
      <c r="M208" s="352"/>
      <c r="N208" s="2"/>
      <c r="O208" s="2"/>
      <c r="P208" s="2"/>
      <c r="Q208" s="2"/>
      <c r="R208" s="2"/>
      <c r="S208" s="2"/>
      <c r="T208" s="2"/>
      <c r="U208" s="2"/>
      <c r="V208" s="2"/>
    </row>
    <row r="209" spans="2:7" x14ac:dyDescent="0.25">
      <c r="B209" s="59"/>
      <c r="C209" s="59"/>
      <c r="E209" s="361"/>
    </row>
    <row r="210" spans="2:7" x14ac:dyDescent="0.25">
      <c r="B210" t="s">
        <v>205</v>
      </c>
      <c r="E210" s="165" t="s">
        <v>206</v>
      </c>
      <c r="F210" s="165"/>
      <c r="G210" s="165"/>
    </row>
    <row r="211" spans="2:7" x14ac:dyDescent="0.25">
      <c r="E211" s="165"/>
      <c r="F211" s="165"/>
      <c r="G211" s="165"/>
    </row>
    <row r="212" spans="2:7" x14ac:dyDescent="0.25">
      <c r="B212" t="s">
        <v>207</v>
      </c>
      <c r="E212" s="165" t="s">
        <v>208</v>
      </c>
      <c r="F212" s="165"/>
      <c r="G212" s="165"/>
    </row>
    <row r="213" spans="2:7" x14ac:dyDescent="0.25">
      <c r="E213" s="165"/>
      <c r="F213" s="165"/>
      <c r="G213" s="165"/>
    </row>
    <row r="214" spans="2:7" x14ac:dyDescent="0.25">
      <c r="B214" t="s">
        <v>209</v>
      </c>
      <c r="E214" s="165" t="s">
        <v>210</v>
      </c>
      <c r="F214" s="165"/>
      <c r="G214" s="165"/>
    </row>
    <row r="215" spans="2:7" x14ac:dyDescent="0.25">
      <c r="B215" t="s">
        <v>211</v>
      </c>
      <c r="E215" s="165"/>
      <c r="F215" s="165"/>
      <c r="G215" s="165"/>
    </row>
    <row r="222" spans="2:7" ht="120" x14ac:dyDescent="0.25">
      <c r="B222" s="1" t="s">
        <v>246</v>
      </c>
      <c r="C222" s="362"/>
      <c r="D222">
        <v>2611.75</v>
      </c>
    </row>
    <row r="223" spans="2:7" ht="30" x14ac:dyDescent="0.25">
      <c r="B223" s="1" t="s">
        <v>241</v>
      </c>
      <c r="D223">
        <v>420.78699999999998</v>
      </c>
    </row>
    <row r="224" spans="2:7" ht="30" x14ac:dyDescent="0.25">
      <c r="B224" s="1" t="s">
        <v>247</v>
      </c>
      <c r="D224">
        <v>521.85599999999999</v>
      </c>
    </row>
    <row r="225" spans="2:4" ht="30" x14ac:dyDescent="0.25">
      <c r="B225" s="1" t="s">
        <v>242</v>
      </c>
      <c r="D225">
        <v>80.59</v>
      </c>
    </row>
    <row r="226" spans="2:4" x14ac:dyDescent="0.25">
      <c r="B226" s="1"/>
      <c r="C226" s="362"/>
      <c r="D226">
        <f>SUM(D222:D225)</f>
        <v>3634.9830000000002</v>
      </c>
    </row>
    <row r="227" spans="2:4" x14ac:dyDescent="0.25">
      <c r="B227" s="1" t="s">
        <v>248</v>
      </c>
      <c r="C227" s="58"/>
      <c r="D227">
        <v>838.05899999999997</v>
      </c>
    </row>
  </sheetData>
  <mergeCells count="331">
    <mergeCell ref="K206:L206"/>
    <mergeCell ref="M202:M205"/>
    <mergeCell ref="H203:I203"/>
    <mergeCell ref="K203:L203"/>
    <mergeCell ref="H204:I204"/>
    <mergeCell ref="K204:L204"/>
    <mergeCell ref="I206:J206"/>
    <mergeCell ref="I200:J200"/>
    <mergeCell ref="K200:L200"/>
    <mergeCell ref="H205:I205"/>
    <mergeCell ref="K205:L205"/>
    <mergeCell ref="A202:B205"/>
    <mergeCell ref="C202:C205"/>
    <mergeCell ref="D202:D205"/>
    <mergeCell ref="E202:E205"/>
    <mergeCell ref="F202:F205"/>
    <mergeCell ref="G202:G205"/>
    <mergeCell ref="H202:I202"/>
    <mergeCell ref="K202:L202"/>
    <mergeCell ref="A201:M201"/>
    <mergeCell ref="A196:B199"/>
    <mergeCell ref="C196:C199"/>
    <mergeCell ref="D196:D199"/>
    <mergeCell ref="E196:E199"/>
    <mergeCell ref="F196:F199"/>
    <mergeCell ref="G196:G199"/>
    <mergeCell ref="H196:I196"/>
    <mergeCell ref="K196:L196"/>
    <mergeCell ref="M196:M199"/>
    <mergeCell ref="H197:I197"/>
    <mergeCell ref="K197:L197"/>
    <mergeCell ref="H198:I198"/>
    <mergeCell ref="K198:L198"/>
    <mergeCell ref="H199:I199"/>
    <mergeCell ref="K199:L199"/>
    <mergeCell ref="A188:M188"/>
    <mergeCell ref="K194:L194"/>
    <mergeCell ref="D193:D194"/>
    <mergeCell ref="E193:E194"/>
    <mergeCell ref="G193:G194"/>
    <mergeCell ref="H193:H194"/>
    <mergeCell ref="F193:F194"/>
    <mergeCell ref="M192:M194"/>
    <mergeCell ref="C193:C194"/>
    <mergeCell ref="A195:M195"/>
    <mergeCell ref="A185:C185"/>
    <mergeCell ref="D185:D186"/>
    <mergeCell ref="E185:E186"/>
    <mergeCell ref="K185:L185"/>
    <mergeCell ref="K186:L186"/>
    <mergeCell ref="A187:C187"/>
    <mergeCell ref="K187:L187"/>
    <mergeCell ref="A192:B192"/>
    <mergeCell ref="A193:B193"/>
    <mergeCell ref="A171:C171"/>
    <mergeCell ref="K171:L171"/>
    <mergeCell ref="A176:C176"/>
    <mergeCell ref="D176:D178"/>
    <mergeCell ref="E176:E178"/>
    <mergeCell ref="K176:L176"/>
    <mergeCell ref="K178:L178"/>
    <mergeCell ref="A179:C179"/>
    <mergeCell ref="K177:L177"/>
    <mergeCell ref="K179:L179"/>
    <mergeCell ref="A163:H163"/>
    <mergeCell ref="K167:L167"/>
    <mergeCell ref="A166:C166"/>
    <mergeCell ref="K166:L166"/>
    <mergeCell ref="A168:C168"/>
    <mergeCell ref="D166:D167"/>
    <mergeCell ref="E166:E167"/>
    <mergeCell ref="B46:M46"/>
    <mergeCell ref="A49:C49"/>
    <mergeCell ref="K50:L50"/>
    <mergeCell ref="B141:H141"/>
    <mergeCell ref="A143:B143"/>
    <mergeCell ref="B144:G144"/>
    <mergeCell ref="K157:L157"/>
    <mergeCell ref="A162:C162"/>
    <mergeCell ref="K162:L162"/>
    <mergeCell ref="A37:M37"/>
    <mergeCell ref="A44:B45"/>
    <mergeCell ref="C44:C45"/>
    <mergeCell ref="D44:D45"/>
    <mergeCell ref="E44:E45"/>
    <mergeCell ref="F44:F45"/>
    <mergeCell ref="G44:G45"/>
    <mergeCell ref="H44:I44"/>
    <mergeCell ref="K44:L44"/>
    <mergeCell ref="M44:M45"/>
    <mergeCell ref="H45:I45"/>
    <mergeCell ref="K45:L45"/>
    <mergeCell ref="A43:B43"/>
    <mergeCell ref="A12:M12"/>
    <mergeCell ref="C68:C69"/>
    <mergeCell ref="A75:B75"/>
    <mergeCell ref="H76:I76"/>
    <mergeCell ref="H77:I77"/>
    <mergeCell ref="K76:L76"/>
    <mergeCell ref="K77:L77"/>
    <mergeCell ref="A76:B77"/>
    <mergeCell ref="C76:C77"/>
    <mergeCell ref="M32:M36"/>
    <mergeCell ref="F32:F36"/>
    <mergeCell ref="C32:C36"/>
    <mergeCell ref="G32:G36"/>
    <mergeCell ref="H33:I33"/>
    <mergeCell ref="K33:L33"/>
    <mergeCell ref="A33:B36"/>
    <mergeCell ref="D76:D77"/>
    <mergeCell ref="E76:E77"/>
    <mergeCell ref="F76:F77"/>
    <mergeCell ref="G76:G77"/>
    <mergeCell ref="M76:M77"/>
    <mergeCell ref="D23:D24"/>
    <mergeCell ref="E23:E24"/>
    <mergeCell ref="A2:J2"/>
    <mergeCell ref="J1:M1"/>
    <mergeCell ref="A59:B59"/>
    <mergeCell ref="C9:C10"/>
    <mergeCell ref="A4:B4"/>
    <mergeCell ref="G7:M7"/>
    <mergeCell ref="D9:F9"/>
    <mergeCell ref="A5:D5"/>
    <mergeCell ref="K8:M8"/>
    <mergeCell ref="J9:J10"/>
    <mergeCell ref="G9:I9"/>
    <mergeCell ref="G8:J8"/>
    <mergeCell ref="H34:I34"/>
    <mergeCell ref="K34:L34"/>
    <mergeCell ref="H35:I35"/>
    <mergeCell ref="K35:L35"/>
    <mergeCell ref="H36:I36"/>
    <mergeCell ref="K36:L36"/>
    <mergeCell ref="D33:D36"/>
    <mergeCell ref="E33:E36"/>
    <mergeCell ref="K20:K22"/>
    <mergeCell ref="L20:L22"/>
    <mergeCell ref="M20:M22"/>
    <mergeCell ref="A23:A24"/>
    <mergeCell ref="A32:B32"/>
    <mergeCell ref="K27:K29"/>
    <mergeCell ref="L27:L29"/>
    <mergeCell ref="F23:F24"/>
    <mergeCell ref="D20:D22"/>
    <mergeCell ref="E20:E22"/>
    <mergeCell ref="F20:F22"/>
    <mergeCell ref="G20:G22"/>
    <mergeCell ref="H20:H22"/>
    <mergeCell ref="I20:I22"/>
    <mergeCell ref="J20:J22"/>
    <mergeCell ref="A25:A26"/>
    <mergeCell ref="D25:D26"/>
    <mergeCell ref="E25:E26"/>
    <mergeCell ref="F25:F26"/>
    <mergeCell ref="M27:M29"/>
    <mergeCell ref="A30:A31"/>
    <mergeCell ref="B30:B31"/>
    <mergeCell ref="G30:G31"/>
    <mergeCell ref="H30:H31"/>
    <mergeCell ref="I30:I31"/>
    <mergeCell ref="J30:J31"/>
    <mergeCell ref="K30:K31"/>
    <mergeCell ref="L30:L31"/>
    <mergeCell ref="M30:M31"/>
    <mergeCell ref="A27:A29"/>
    <mergeCell ref="B27:B29"/>
    <mergeCell ref="C27:C28"/>
    <mergeCell ref="D27:D28"/>
    <mergeCell ref="E27:E28"/>
    <mergeCell ref="F27:F28"/>
    <mergeCell ref="A99:B99"/>
    <mergeCell ref="A100:B100"/>
    <mergeCell ref="A50:B51"/>
    <mergeCell ref="C50:C51"/>
    <mergeCell ref="D50:D51"/>
    <mergeCell ref="E50:E51"/>
    <mergeCell ref="F50:F51"/>
    <mergeCell ref="G50:G51"/>
    <mergeCell ref="H50:I50"/>
    <mergeCell ref="A90:M90"/>
    <mergeCell ref="A92:B92"/>
    <mergeCell ref="A93:B94"/>
    <mergeCell ref="C93:C94"/>
    <mergeCell ref="D93:D94"/>
    <mergeCell ref="E93:E94"/>
    <mergeCell ref="F93:F94"/>
    <mergeCell ref="G93:G94"/>
    <mergeCell ref="H93:I93"/>
    <mergeCell ref="K93:L93"/>
    <mergeCell ref="M93:M94"/>
    <mergeCell ref="H94:I94"/>
    <mergeCell ref="K94:L94"/>
    <mergeCell ref="A95:M95"/>
    <mergeCell ref="K100:L100"/>
    <mergeCell ref="M50:M51"/>
    <mergeCell ref="H51:I51"/>
    <mergeCell ref="K51:L51"/>
    <mergeCell ref="H80:I80"/>
    <mergeCell ref="K80:L80"/>
    <mergeCell ref="H81:I81"/>
    <mergeCell ref="A52:M52"/>
    <mergeCell ref="H60:I60"/>
    <mergeCell ref="H61:I61"/>
    <mergeCell ref="K61:L61"/>
    <mergeCell ref="K62:L62"/>
    <mergeCell ref="K60:L60"/>
    <mergeCell ref="H68:H69"/>
    <mergeCell ref="M79:M82"/>
    <mergeCell ref="F79:F82"/>
    <mergeCell ref="G79:G82"/>
    <mergeCell ref="H62:I62"/>
    <mergeCell ref="M60:M62"/>
    <mergeCell ref="G60:G62"/>
    <mergeCell ref="F60:F62"/>
    <mergeCell ref="E60:E62"/>
    <mergeCell ref="D60:D62"/>
    <mergeCell ref="C60:C62"/>
    <mergeCell ref="A60:B62"/>
    <mergeCell ref="A159:C159"/>
    <mergeCell ref="A65:B65"/>
    <mergeCell ref="A66:B66"/>
    <mergeCell ref="A68:A69"/>
    <mergeCell ref="B68:B69"/>
    <mergeCell ref="A67:M67"/>
    <mergeCell ref="A133:B133"/>
    <mergeCell ref="A134:B134"/>
    <mergeCell ref="A139:B139"/>
    <mergeCell ref="A157:C157"/>
    <mergeCell ref="K66:L66"/>
    <mergeCell ref="H66:I66"/>
    <mergeCell ref="A79:B82"/>
    <mergeCell ref="D79:D82"/>
    <mergeCell ref="E79:E82"/>
    <mergeCell ref="H79:I79"/>
    <mergeCell ref="K79:L79"/>
    <mergeCell ref="A105:B105"/>
    <mergeCell ref="A126:B126"/>
    <mergeCell ref="K81:L81"/>
    <mergeCell ref="H82:I82"/>
    <mergeCell ref="K82:L82"/>
    <mergeCell ref="A78:M78"/>
    <mergeCell ref="C79:C82"/>
    <mergeCell ref="E214:G214"/>
    <mergeCell ref="E215:G215"/>
    <mergeCell ref="A7:A10"/>
    <mergeCell ref="B7:B10"/>
    <mergeCell ref="C7:F8"/>
    <mergeCell ref="E210:G210"/>
    <mergeCell ref="E211:G211"/>
    <mergeCell ref="E212:G212"/>
    <mergeCell ref="E213:G213"/>
    <mergeCell ref="B160:M160"/>
    <mergeCell ref="B169:D169"/>
    <mergeCell ref="B172:C172"/>
    <mergeCell ref="I68:I69"/>
    <mergeCell ref="J68:J69"/>
    <mergeCell ref="K68:K69"/>
    <mergeCell ref="L68:L69"/>
    <mergeCell ref="M68:M69"/>
    <mergeCell ref="D68:D69"/>
    <mergeCell ref="E68:E69"/>
    <mergeCell ref="F68:F69"/>
    <mergeCell ref="G68:G69"/>
    <mergeCell ref="A63:M63"/>
    <mergeCell ref="K83:L83"/>
    <mergeCell ref="I83:J83"/>
    <mergeCell ref="A84:M84"/>
    <mergeCell ref="A87:B87"/>
    <mergeCell ref="A88:B89"/>
    <mergeCell ref="C88:C89"/>
    <mergeCell ref="D88:D89"/>
    <mergeCell ref="E88:E89"/>
    <mergeCell ref="F88:F89"/>
    <mergeCell ref="G88:G89"/>
    <mergeCell ref="H88:I88"/>
    <mergeCell ref="K88:L88"/>
    <mergeCell ref="M88:M89"/>
    <mergeCell ref="H89:I89"/>
    <mergeCell ref="K89:L89"/>
    <mergeCell ref="H100:I100"/>
    <mergeCell ref="A101:M101"/>
    <mergeCell ref="A106:B108"/>
    <mergeCell ref="M106:M108"/>
    <mergeCell ref="G106:G108"/>
    <mergeCell ref="C106:C108"/>
    <mergeCell ref="D106:D108"/>
    <mergeCell ref="E106:E108"/>
    <mergeCell ref="F106:F108"/>
    <mergeCell ref="H106:I106"/>
    <mergeCell ref="H107:I107"/>
    <mergeCell ref="H108:I108"/>
    <mergeCell ref="K106:L106"/>
    <mergeCell ref="K107:L107"/>
    <mergeCell ref="K108:L108"/>
    <mergeCell ref="M113:M114"/>
    <mergeCell ref="H114:I114"/>
    <mergeCell ref="K114:L114"/>
    <mergeCell ref="A109:M109"/>
    <mergeCell ref="A115:M115"/>
    <mergeCell ref="A117:B117"/>
    <mergeCell ref="A118:B118"/>
    <mergeCell ref="H118:I118"/>
    <mergeCell ref="K118:L118"/>
    <mergeCell ref="A112:B112"/>
    <mergeCell ref="A113:B114"/>
    <mergeCell ref="C113:C114"/>
    <mergeCell ref="D113:D114"/>
    <mergeCell ref="E113:E114"/>
    <mergeCell ref="F113:F114"/>
    <mergeCell ref="G113:G114"/>
    <mergeCell ref="H113:I113"/>
    <mergeCell ref="K113:L113"/>
    <mergeCell ref="G127:G128"/>
    <mergeCell ref="M127:M128"/>
    <mergeCell ref="A129:M129"/>
    <mergeCell ref="A119:M119"/>
    <mergeCell ref="A121:B121"/>
    <mergeCell ref="A122:B122"/>
    <mergeCell ref="H122:I122"/>
    <mergeCell ref="K122:L122"/>
    <mergeCell ref="A123:M123"/>
    <mergeCell ref="H127:I127"/>
    <mergeCell ref="K127:L127"/>
    <mergeCell ref="H128:I128"/>
    <mergeCell ref="K128:L128"/>
    <mergeCell ref="A127:B128"/>
    <mergeCell ref="C127:C128"/>
    <mergeCell ref="D127:D128"/>
    <mergeCell ref="E127:E128"/>
    <mergeCell ref="F127:F128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verticalDpi="0" r:id="rId1"/>
  <ignoredErrors>
    <ignoredError sqref="G64 K64:M64 H64:I64 H66 G65:H65 D66:E66 K66" numberStoredAsText="1"/>
    <ignoredError sqref="D1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 1.</vt:lpstr>
      <vt:lpstr>Прилож. 4.</vt:lpstr>
      <vt:lpstr>Прилож. 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2021-03-16T15:42:32Z</dcterms:modified>
</cp:coreProperties>
</file>